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8\Downloads\"/>
    </mc:Choice>
  </mc:AlternateContent>
  <xr:revisionPtr revIDLastSave="0" documentId="8_{C2D825C1-2880-4264-9733-CC36D9AD2649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Summary sheet" sheetId="7" r:id="rId1"/>
    <sheet name="Sheet2" sheetId="9" state="hidden" r:id="rId2"/>
    <sheet name="Peer Sheet" sheetId="12" r:id="rId3"/>
    <sheet name="Sheet1" sheetId="8" state="hidden" r:id="rId4"/>
    <sheet name="Sheet3" sheetId="11" state="hidden" r:id="rId5"/>
  </sheets>
  <calcPr calcId="181029"/>
</workbook>
</file>

<file path=xl/calcChain.xml><?xml version="1.0" encoding="utf-8"?>
<calcChain xmlns="http://schemas.openxmlformats.org/spreadsheetml/2006/main">
  <c r="M46" i="7" l="1"/>
  <c r="M45" i="7"/>
  <c r="M44" i="7"/>
  <c r="Z56" i="7"/>
  <c r="Z55" i="7"/>
  <c r="Z58" i="7" s="1"/>
  <c r="Z61" i="7"/>
  <c r="Z62" i="7"/>
  <c r="Z63" i="7"/>
  <c r="Z64" i="7"/>
  <c r="Z65" i="7"/>
  <c r="Z66" i="7"/>
  <c r="Z67" i="7"/>
  <c r="Z68" i="7"/>
  <c r="Z69" i="7" s="1"/>
  <c r="Z70" i="7"/>
  <c r="Z71" i="7"/>
  <c r="Z72" i="7"/>
  <c r="Z51" i="7"/>
  <c r="Z21" i="7"/>
  <c r="Z48" i="7"/>
  <c r="Z47" i="7"/>
  <c r="Z45" i="7"/>
  <c r="Z39" i="7"/>
  <c r="Z43" i="7"/>
  <c r="Z42" i="7"/>
  <c r="Z41" i="7"/>
  <c r="Z40" i="7"/>
  <c r="Z30" i="7"/>
  <c r="Z36" i="7"/>
  <c r="Z35" i="7"/>
  <c r="Z34" i="7"/>
  <c r="Z33" i="7"/>
  <c r="Z32" i="7"/>
  <c r="Z31" i="7"/>
  <c r="Z27" i="7"/>
  <c r="Z25" i="7"/>
  <c r="Z24" i="7"/>
  <c r="Z22" i="7"/>
  <c r="Z20" i="7"/>
  <c r="Z18" i="7"/>
  <c r="Z17" i="7"/>
  <c r="Z16" i="7"/>
  <c r="Z15" i="7"/>
  <c r="Z9" i="7"/>
  <c r="Z8" i="7"/>
  <c r="Z7" i="7"/>
  <c r="Z5" i="7"/>
  <c r="M31" i="7"/>
  <c r="M32" i="7"/>
  <c r="M25" i="7"/>
  <c r="M21" i="7"/>
  <c r="M20" i="7"/>
  <c r="M14" i="7"/>
  <c r="M13" i="7"/>
  <c r="M12" i="7"/>
  <c r="M10" i="7"/>
  <c r="M11" i="7"/>
  <c r="M5" i="7"/>
  <c r="M4" i="7"/>
  <c r="F52" i="7" l="1"/>
  <c r="G52" i="7"/>
  <c r="H52" i="7"/>
  <c r="J52" i="7"/>
  <c r="L52" i="7"/>
  <c r="I52" i="7"/>
  <c r="K52" i="7"/>
  <c r="E52" i="7"/>
  <c r="F51" i="7"/>
  <c r="G51" i="7"/>
  <c r="H51" i="7"/>
  <c r="I51" i="7"/>
  <c r="J51" i="7"/>
  <c r="K51" i="7"/>
  <c r="L51" i="7"/>
  <c r="E51" i="7"/>
  <c r="E53" i="7" l="1"/>
  <c r="K53" i="7"/>
  <c r="I53" i="7"/>
  <c r="L53" i="7"/>
  <c r="J53" i="7"/>
  <c r="H53" i="7"/>
  <c r="G53" i="7"/>
  <c r="F53" i="7"/>
  <c r="M51" i="7"/>
  <c r="M62" i="7"/>
  <c r="Z37" i="7"/>
  <c r="M64" i="7"/>
  <c r="M52" i="7"/>
  <c r="Z10" i="7"/>
  <c r="Z6" i="7"/>
  <c r="M47" i="7"/>
  <c r="M53" i="7" l="1"/>
  <c r="Z11" i="7"/>
  <c r="Z59" i="7"/>
  <c r="M63" i="7"/>
  <c r="M65" i="7" s="1"/>
  <c r="Z60" i="7" s="1"/>
  <c r="Z26" i="7"/>
  <c r="Z50" i="7" s="1"/>
  <c r="Z12" i="7" s="1"/>
  <c r="M9" i="7"/>
  <c r="M6" i="7"/>
  <c r="M16" i="7" l="1"/>
  <c r="M24" i="7" s="1"/>
  <c r="M26" i="7" s="1"/>
  <c r="Z44" i="7"/>
  <c r="Y72" i="7"/>
  <c r="M19" i="7" l="1"/>
  <c r="M27" i="7"/>
  <c r="M28" i="7" s="1"/>
  <c r="Y65" i="7"/>
  <c r="Y55" i="7"/>
  <c r="M33" i="7" l="1"/>
  <c r="Y6" i="7"/>
  <c r="L47" i="7" l="1"/>
  <c r="L38" i="7" l="1"/>
  <c r="L37" i="7"/>
  <c r="L9" i="7" l="1"/>
  <c r="L6" i="7"/>
  <c r="Y66" i="7" l="1"/>
  <c r="L16" i="7"/>
  <c r="Y67" i="7"/>
  <c r="Y68" i="7"/>
  <c r="Y69" i="7" s="1"/>
  <c r="L24" i="7"/>
  <c r="L19" i="7"/>
  <c r="K28" i="11"/>
  <c r="K25" i="11"/>
  <c r="L25" i="11"/>
  <c r="J25" i="11"/>
  <c r="H25" i="11"/>
  <c r="F25" i="11"/>
  <c r="M18" i="11"/>
  <c r="J18" i="11"/>
  <c r="H18" i="11"/>
  <c r="F18" i="11"/>
  <c r="L18" i="11"/>
  <c r="D18" i="11"/>
  <c r="D25" i="11"/>
  <c r="B26" i="11"/>
  <c r="B24" i="11"/>
  <c r="B20" i="11"/>
  <c r="B19" i="11"/>
  <c r="B13" i="11"/>
  <c r="B5" i="11"/>
  <c r="L64" i="7"/>
  <c r="K64" i="7"/>
  <c r="L62" i="7"/>
  <c r="K62" i="7"/>
  <c r="Y58" i="7"/>
  <c r="K48" i="7"/>
  <c r="Y37" i="7"/>
  <c r="Y26" i="7"/>
  <c r="Y50" i="7" s="1"/>
  <c r="K38" i="7"/>
  <c r="K37" i="7"/>
  <c r="K9" i="7"/>
  <c r="K16" i="7" s="1"/>
  <c r="K6" i="7"/>
  <c r="Y12" i="7" l="1"/>
  <c r="B18" i="11"/>
  <c r="Y44" i="7"/>
  <c r="L27" i="7"/>
  <c r="L26" i="7"/>
  <c r="K24" i="7"/>
  <c r="K19" i="7"/>
  <c r="Y10" i="7"/>
  <c r="Y71" i="7" l="1"/>
  <c r="Y63" i="7"/>
  <c r="Y64" i="7"/>
  <c r="L28" i="7"/>
  <c r="L33" i="7"/>
  <c r="K27" i="7"/>
  <c r="K26" i="7"/>
  <c r="Y51" i="7"/>
  <c r="K63" i="7"/>
  <c r="K65" i="7" s="1"/>
  <c r="L63" i="7"/>
  <c r="L65" i="7" s="1"/>
  <c r="Y11" i="7"/>
  <c r="Y62" i="7" s="1"/>
  <c r="Y56" i="7"/>
  <c r="B24" i="8"/>
  <c r="B20" i="8"/>
  <c r="B19" i="8"/>
  <c r="B13" i="8"/>
  <c r="B5" i="8"/>
  <c r="I62" i="7"/>
  <c r="J62" i="7"/>
  <c r="W72" i="7"/>
  <c r="X72" i="7"/>
  <c r="W65" i="7"/>
  <c r="X65" i="7"/>
  <c r="W55" i="7"/>
  <c r="W58" i="7" s="1"/>
  <c r="X55" i="7"/>
  <c r="X58" i="7" s="1"/>
  <c r="I64" i="7"/>
  <c r="J64" i="7"/>
  <c r="B27" i="11" s="1"/>
  <c r="Y61" i="7" l="1"/>
  <c r="Y60" i="7"/>
  <c r="B33" i="8"/>
  <c r="B33" i="11"/>
  <c r="B27" i="8"/>
  <c r="Y59" i="7"/>
  <c r="B32" i="8"/>
  <c r="B32" i="11"/>
  <c r="K33" i="7"/>
  <c r="K28" i="7"/>
  <c r="I47" i="7"/>
  <c r="I48" i="7" s="1"/>
  <c r="J47" i="7"/>
  <c r="J38" i="7"/>
  <c r="I38" i="7"/>
  <c r="J37" i="7"/>
  <c r="I37" i="7"/>
  <c r="J9" i="7"/>
  <c r="I9" i="7"/>
  <c r="I6" i="7"/>
  <c r="K7" i="7" s="1"/>
  <c r="J6" i="7"/>
  <c r="L7" i="7" s="1"/>
  <c r="X26" i="7"/>
  <c r="X50" i="7" s="1"/>
  <c r="X37" i="7"/>
  <c r="W26" i="7"/>
  <c r="W50" i="7" s="1"/>
  <c r="X10" i="7"/>
  <c r="X6" i="7"/>
  <c r="X12" i="7" l="1"/>
  <c r="B17" i="11"/>
  <c r="X44" i="7"/>
  <c r="Y70" i="7" s="1"/>
  <c r="B17" i="8"/>
  <c r="X56" i="7"/>
  <c r="B34" i="11" s="1"/>
  <c r="X51" i="7"/>
  <c r="W68" i="7"/>
  <c r="X71" i="7"/>
  <c r="X63" i="7"/>
  <c r="J63" i="7"/>
  <c r="J65" i="7" s="1"/>
  <c r="X11" i="7"/>
  <c r="I16" i="7"/>
  <c r="K17" i="7" s="1"/>
  <c r="X64" i="7"/>
  <c r="X66" i="7"/>
  <c r="W66" i="7"/>
  <c r="J16" i="7"/>
  <c r="L17" i="7" s="1"/>
  <c r="X68" i="7"/>
  <c r="H62" i="7"/>
  <c r="B44" i="11" l="1"/>
  <c r="B48" i="8"/>
  <c r="B48" i="11"/>
  <c r="B7" i="11"/>
  <c r="B9" i="11" s="1"/>
  <c r="B50" i="8"/>
  <c r="B50" i="11"/>
  <c r="B28" i="8"/>
  <c r="X60" i="7"/>
  <c r="B44" i="8"/>
  <c r="I19" i="7"/>
  <c r="I24" i="7"/>
  <c r="B34" i="8"/>
  <c r="X59" i="7"/>
  <c r="B7" i="8"/>
  <c r="X62" i="7"/>
  <c r="J24" i="7"/>
  <c r="J19" i="7"/>
  <c r="W39" i="7"/>
  <c r="W10" i="7"/>
  <c r="W6" i="7"/>
  <c r="B42" i="8" l="1"/>
  <c r="B42" i="11"/>
  <c r="W63" i="7"/>
  <c r="I63" i="7"/>
  <c r="I65" i="7" s="1"/>
  <c r="W60" i="7" s="1"/>
  <c r="W71" i="7"/>
  <c r="W64" i="7"/>
  <c r="J27" i="7"/>
  <c r="B10" i="11" s="1"/>
  <c r="B12" i="11" s="1"/>
  <c r="J26" i="7"/>
  <c r="W37" i="7"/>
  <c r="W51" i="7" s="1"/>
  <c r="X67" i="7"/>
  <c r="W56" i="7"/>
  <c r="W59" i="7" s="1"/>
  <c r="W11" i="7"/>
  <c r="W62" i="7" s="1"/>
  <c r="I26" i="7"/>
  <c r="I27" i="7"/>
  <c r="W12" i="7" l="1"/>
  <c r="B46" i="11"/>
  <c r="W44" i="7"/>
  <c r="X70" i="7" s="1"/>
  <c r="I33" i="7"/>
  <c r="K34" i="7" s="1"/>
  <c r="I28" i="7"/>
  <c r="B10" i="8"/>
  <c r="J33" i="7"/>
  <c r="J28" i="7"/>
  <c r="B46" i="8"/>
  <c r="X69" i="7"/>
  <c r="B18" i="8"/>
  <c r="B38" i="8"/>
  <c r="G25" i="8"/>
  <c r="F25" i="8"/>
  <c r="E25" i="8"/>
  <c r="D25" i="8"/>
  <c r="C25" i="8"/>
  <c r="X61" i="7" l="1"/>
  <c r="L34" i="7"/>
  <c r="B47" i="8"/>
  <c r="B47" i="11"/>
  <c r="W61" i="7"/>
  <c r="F33" i="8"/>
  <c r="E33" i="8"/>
  <c r="D33" i="8"/>
  <c r="C33" i="8"/>
  <c r="G33" i="8"/>
  <c r="G11" i="8"/>
  <c r="F18" i="8"/>
  <c r="F50" i="8" s="1"/>
  <c r="E18" i="8"/>
  <c r="E50" i="8" s="1"/>
  <c r="D18" i="8"/>
  <c r="D50" i="8" s="1"/>
  <c r="C18" i="8"/>
  <c r="C50" i="8" s="1"/>
  <c r="G18" i="8"/>
  <c r="D14" i="8"/>
  <c r="E14" i="8"/>
  <c r="F14" i="8"/>
  <c r="G14" i="8"/>
  <c r="D11" i="8"/>
  <c r="E11" i="8"/>
  <c r="F11" i="8"/>
  <c r="D8" i="8"/>
  <c r="E8" i="8"/>
  <c r="F8" i="8"/>
  <c r="G8" i="8"/>
  <c r="D6" i="8"/>
  <c r="E6" i="8"/>
  <c r="F6" i="8"/>
  <c r="G6" i="8"/>
  <c r="C14" i="8"/>
  <c r="C8" i="8"/>
  <c r="B41" i="8" l="1"/>
  <c r="B41" i="11"/>
  <c r="G12" i="8"/>
  <c r="F12" i="8"/>
  <c r="E12" i="8"/>
  <c r="D12" i="8"/>
  <c r="C12" i="8"/>
  <c r="B12" i="8"/>
  <c r="G9" i="8"/>
  <c r="F9" i="8"/>
  <c r="E9" i="8"/>
  <c r="D9" i="8"/>
  <c r="C9" i="8"/>
  <c r="B9" i="8"/>
  <c r="V72" i="7" l="1"/>
  <c r="V65" i="7"/>
  <c r="V55" i="7"/>
  <c r="V58" i="7" s="1"/>
  <c r="H64" i="7"/>
  <c r="H47" i="7" l="1"/>
  <c r="G47" i="7"/>
  <c r="V39" i="7" l="1"/>
  <c r="W67" i="7" s="1"/>
  <c r="W69" i="7" s="1"/>
  <c r="H25" i="7"/>
  <c r="U72" i="7" l="1"/>
  <c r="T72" i="7"/>
  <c r="S72" i="7"/>
  <c r="R72" i="7"/>
  <c r="V37" i="7" l="1"/>
  <c r="V26" i="7"/>
  <c r="V50" i="7" s="1"/>
  <c r="V10" i="7"/>
  <c r="V6" i="7"/>
  <c r="V56" i="7" s="1"/>
  <c r="H38" i="7"/>
  <c r="H37" i="7"/>
  <c r="H9" i="7"/>
  <c r="H16" i="7" s="1"/>
  <c r="H6" i="7"/>
  <c r="V64" i="7" l="1"/>
  <c r="B40" i="11"/>
  <c r="B14" i="8"/>
  <c r="B14" i="11"/>
  <c r="J7" i="7"/>
  <c r="I7" i="7"/>
  <c r="H19" i="7"/>
  <c r="I17" i="7"/>
  <c r="J17" i="7"/>
  <c r="V12" i="7"/>
  <c r="V11" i="7"/>
  <c r="V62" i="7" s="1"/>
  <c r="V68" i="7"/>
  <c r="V67" i="7"/>
  <c r="H63" i="7"/>
  <c r="H65" i="7" s="1"/>
  <c r="V71" i="7"/>
  <c r="V63" i="7"/>
  <c r="V66" i="7"/>
  <c r="V44" i="7"/>
  <c r="W70" i="7" s="1"/>
  <c r="V51" i="7"/>
  <c r="B45" i="8" l="1"/>
  <c r="B45" i="11"/>
  <c r="V59" i="7"/>
  <c r="B40" i="8"/>
  <c r="V69" i="7"/>
  <c r="H24" i="7"/>
  <c r="V60" i="7"/>
  <c r="H27" i="7" l="1"/>
  <c r="H26" i="7"/>
  <c r="R68" i="7"/>
  <c r="Q68" i="7"/>
  <c r="P68" i="7"/>
  <c r="R67" i="7"/>
  <c r="Q67" i="7"/>
  <c r="P67" i="7"/>
  <c r="U65" i="7"/>
  <c r="T65" i="7"/>
  <c r="S65" i="7"/>
  <c r="R65" i="7"/>
  <c r="Q65" i="7"/>
  <c r="P65" i="7"/>
  <c r="G64" i="7"/>
  <c r="F64" i="7"/>
  <c r="E64" i="7"/>
  <c r="D64" i="7"/>
  <c r="C64" i="7"/>
  <c r="B64" i="7"/>
  <c r="G62" i="7"/>
  <c r="F62" i="7"/>
  <c r="E62" i="7"/>
  <c r="D62" i="7"/>
  <c r="C62" i="7"/>
  <c r="B62" i="7"/>
  <c r="U55" i="7"/>
  <c r="U58" i="7" s="1"/>
  <c r="T55" i="7"/>
  <c r="T58" i="7" s="1"/>
  <c r="S55" i="7"/>
  <c r="S58" i="7" s="1"/>
  <c r="R55" i="7"/>
  <c r="R58" i="7" s="1"/>
  <c r="Q55" i="7"/>
  <c r="Q58" i="7" s="1"/>
  <c r="P55" i="7"/>
  <c r="P58" i="7" s="1"/>
  <c r="F47" i="7"/>
  <c r="F48" i="7" s="1"/>
  <c r="G43" i="7" s="1"/>
  <c r="G48" i="7" s="1"/>
  <c r="H43" i="7" s="1"/>
  <c r="H48" i="7" s="1"/>
  <c r="J43" i="7" s="1"/>
  <c r="J48" i="7" s="1"/>
  <c r="L43" i="7" s="1"/>
  <c r="L48" i="7" s="1"/>
  <c r="M43" i="7" s="1"/>
  <c r="M48" i="7" s="1"/>
  <c r="E47" i="7"/>
  <c r="E48" i="7" s="1"/>
  <c r="D47" i="7"/>
  <c r="D48" i="7" s="1"/>
  <c r="C47" i="7"/>
  <c r="C48" i="7" s="1"/>
  <c r="B47" i="7"/>
  <c r="B48" i="7" s="1"/>
  <c r="G38" i="7"/>
  <c r="F38" i="7"/>
  <c r="G37" i="7"/>
  <c r="F37" i="7"/>
  <c r="E37" i="7"/>
  <c r="D37" i="7"/>
  <c r="C37" i="7"/>
  <c r="U37" i="7"/>
  <c r="T37" i="7"/>
  <c r="S37" i="7"/>
  <c r="R37" i="7"/>
  <c r="Q37" i="7"/>
  <c r="P37" i="7"/>
  <c r="U26" i="7"/>
  <c r="U50" i="7" s="1"/>
  <c r="T26" i="7"/>
  <c r="T50" i="7" s="1"/>
  <c r="S26" i="7"/>
  <c r="S50" i="7" s="1"/>
  <c r="R26" i="7"/>
  <c r="Q26" i="7"/>
  <c r="Q50" i="7" s="1"/>
  <c r="P26" i="7"/>
  <c r="P50" i="7" s="1"/>
  <c r="U10" i="7"/>
  <c r="U71" i="7" s="1"/>
  <c r="T10" i="7"/>
  <c r="T71" i="7" s="1"/>
  <c r="S10" i="7"/>
  <c r="R10" i="7"/>
  <c r="R71" i="7" s="1"/>
  <c r="Q10" i="7"/>
  <c r="Q71" i="7" s="1"/>
  <c r="P10" i="7"/>
  <c r="P71" i="7" s="1"/>
  <c r="G9" i="7"/>
  <c r="F9" i="7"/>
  <c r="E9" i="7"/>
  <c r="D9" i="7"/>
  <c r="C9" i="7"/>
  <c r="B9" i="7"/>
  <c r="U6" i="7"/>
  <c r="U56" i="7" s="1"/>
  <c r="U59" i="7" s="1"/>
  <c r="T6" i="7"/>
  <c r="T11" i="7" s="1"/>
  <c r="S6" i="7"/>
  <c r="S11" i="7" s="1"/>
  <c r="G6" i="7"/>
  <c r="F6" i="7"/>
  <c r="E6" i="7"/>
  <c r="H8" i="7" s="1"/>
  <c r="D6" i="7"/>
  <c r="C6" i="7"/>
  <c r="B6" i="7"/>
  <c r="R5" i="7"/>
  <c r="R6" i="7" s="1"/>
  <c r="R56" i="7" s="1"/>
  <c r="R59" i="7" s="1"/>
  <c r="Q5" i="7"/>
  <c r="Q6" i="7" s="1"/>
  <c r="Q11" i="7" s="1"/>
  <c r="P5" i="7"/>
  <c r="P6" i="7" s="1"/>
  <c r="K8" i="7" l="1"/>
  <c r="L8" i="7"/>
  <c r="B25" i="8"/>
  <c r="B25" i="11"/>
  <c r="S64" i="7"/>
  <c r="I8" i="7"/>
  <c r="J8" i="7"/>
  <c r="S12" i="7"/>
  <c r="E16" i="7"/>
  <c r="E24" i="7" s="1"/>
  <c r="S67" i="7"/>
  <c r="S68" i="7"/>
  <c r="G8" i="7"/>
  <c r="H7" i="7"/>
  <c r="F16" i="7"/>
  <c r="T68" i="7"/>
  <c r="T67" i="7"/>
  <c r="U67" i="7"/>
  <c r="U68" i="7"/>
  <c r="G16" i="7"/>
  <c r="T12" i="7"/>
  <c r="P12" i="7"/>
  <c r="R44" i="7"/>
  <c r="T51" i="7"/>
  <c r="T64" i="7"/>
  <c r="Q12" i="7"/>
  <c r="U12" i="7"/>
  <c r="R51" i="7"/>
  <c r="S51" i="7"/>
  <c r="R50" i="7"/>
  <c r="R12" i="7" s="1"/>
  <c r="S56" i="7"/>
  <c r="S59" i="7" s="1"/>
  <c r="T63" i="7"/>
  <c r="R64" i="7"/>
  <c r="U11" i="7"/>
  <c r="U51" i="7"/>
  <c r="D63" i="7"/>
  <c r="D65" i="7" s="1"/>
  <c r="H33" i="7"/>
  <c r="V61" i="7" s="1"/>
  <c r="H28" i="7"/>
  <c r="C16" i="7"/>
  <c r="C19" i="7" s="1"/>
  <c r="B16" i="7"/>
  <c r="B19" i="7" s="1"/>
  <c r="Q51" i="7"/>
  <c r="P11" i="7"/>
  <c r="P63" i="7"/>
  <c r="P51" i="7"/>
  <c r="P64" i="7"/>
  <c r="T66" i="7"/>
  <c r="D7" i="7"/>
  <c r="F8" i="7"/>
  <c r="R11" i="7"/>
  <c r="D16" i="7"/>
  <c r="S44" i="7"/>
  <c r="T56" i="7"/>
  <c r="T59" i="7" s="1"/>
  <c r="Q63" i="7"/>
  <c r="U63" i="7"/>
  <c r="E63" i="7"/>
  <c r="E65" i="7" s="1"/>
  <c r="Q64" i="7"/>
  <c r="U64" i="7"/>
  <c r="Q66" i="7"/>
  <c r="Q69" i="7" s="1"/>
  <c r="U66" i="7"/>
  <c r="S71" i="7"/>
  <c r="G7" i="7"/>
  <c r="P66" i="7"/>
  <c r="P69" i="7" s="1"/>
  <c r="E7" i="7"/>
  <c r="P44" i="7"/>
  <c r="P70" i="7" s="1"/>
  <c r="T44" i="7"/>
  <c r="R63" i="7"/>
  <c r="B63" i="7"/>
  <c r="B65" i="7" s="1"/>
  <c r="F63" i="7"/>
  <c r="F65" i="7" s="1"/>
  <c r="R66" i="7"/>
  <c r="R69" i="7" s="1"/>
  <c r="C7" i="7"/>
  <c r="F7" i="7"/>
  <c r="Q44" i="7"/>
  <c r="U44" i="7"/>
  <c r="V70" i="7" s="1"/>
  <c r="S63" i="7"/>
  <c r="C63" i="7"/>
  <c r="C65" i="7" s="1"/>
  <c r="G63" i="7"/>
  <c r="G65" i="7" s="1"/>
  <c r="S66" i="7"/>
  <c r="K18" i="7" l="1"/>
  <c r="L18" i="7"/>
  <c r="B6" i="8"/>
  <c r="B6" i="11"/>
  <c r="G24" i="7"/>
  <c r="I34" i="7"/>
  <c r="J34" i="7"/>
  <c r="J18" i="7"/>
  <c r="I18" i="7"/>
  <c r="F24" i="7"/>
  <c r="H18" i="7"/>
  <c r="G19" i="7"/>
  <c r="T62" i="7"/>
  <c r="G18" i="7"/>
  <c r="T60" i="7"/>
  <c r="F19" i="7"/>
  <c r="B24" i="7"/>
  <c r="U69" i="7"/>
  <c r="S69" i="7"/>
  <c r="U70" i="7"/>
  <c r="T69" i="7"/>
  <c r="U60" i="7"/>
  <c r="S70" i="7"/>
  <c r="Q62" i="7"/>
  <c r="Q70" i="7"/>
  <c r="P60" i="7"/>
  <c r="G17" i="7"/>
  <c r="H17" i="7"/>
  <c r="U62" i="7"/>
  <c r="S60" i="7"/>
  <c r="F18" i="7"/>
  <c r="C17" i="7"/>
  <c r="C24" i="7"/>
  <c r="C27" i="7" s="1"/>
  <c r="C33" i="7" s="1"/>
  <c r="Q60" i="7"/>
  <c r="P62" i="7"/>
  <c r="T70" i="7"/>
  <c r="R60" i="7"/>
  <c r="S62" i="7"/>
  <c r="E19" i="7"/>
  <c r="E17" i="7"/>
  <c r="R62" i="7"/>
  <c r="D19" i="7"/>
  <c r="D17" i="7"/>
  <c r="D24" i="7"/>
  <c r="F17" i="7"/>
  <c r="R70" i="7"/>
  <c r="G26" i="7" l="1"/>
  <c r="G27" i="7"/>
  <c r="F26" i="7"/>
  <c r="B8" i="8"/>
  <c r="B8" i="11"/>
  <c r="B27" i="7"/>
  <c r="B33" i="7" s="1"/>
  <c r="P61" i="7" s="1"/>
  <c r="F27" i="7"/>
  <c r="E26" i="7"/>
  <c r="E27" i="7"/>
  <c r="H29" i="7" s="1"/>
  <c r="Q61" i="7"/>
  <c r="D26" i="7"/>
  <c r="D27" i="7"/>
  <c r="K29" i="7" l="1"/>
  <c r="L29" i="7"/>
  <c r="G33" i="7"/>
  <c r="H34" i="7" s="1"/>
  <c r="G28" i="7"/>
  <c r="B11" i="8"/>
  <c r="B11" i="11"/>
  <c r="J29" i="7"/>
  <c r="I29" i="7"/>
  <c r="F28" i="7"/>
  <c r="C34" i="7"/>
  <c r="F33" i="7"/>
  <c r="D33" i="7"/>
  <c r="D28" i="7"/>
  <c r="E33" i="7"/>
  <c r="H35" i="7" s="1"/>
  <c r="E28" i="7"/>
  <c r="G35" i="7" l="1"/>
  <c r="K35" i="7"/>
  <c r="U61" i="7"/>
  <c r="L35" i="7"/>
  <c r="J35" i="7"/>
  <c r="I35" i="7"/>
  <c r="F35" i="7"/>
  <c r="T61" i="7"/>
  <c r="G34" i="7"/>
  <c r="S61" i="7"/>
  <c r="E34" i="7"/>
  <c r="F34" i="7"/>
  <c r="D34" i="7"/>
  <c r="R61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v13</author>
  </authors>
  <commentList>
    <comment ref="O21" authorId="0" shapeId="0" xr:uid="{5CEA9CFB-3DF5-4191-B597-B066DD2F85E1}">
      <text>
        <r>
          <rPr>
            <b/>
            <sz val="9"/>
            <color indexed="81"/>
            <rFont val="Tahoma"/>
            <charset val="1"/>
          </rPr>
          <t>v13:</t>
        </r>
        <r>
          <rPr>
            <sz val="9"/>
            <color indexed="81"/>
            <rFont val="Tahoma"/>
            <charset val="1"/>
          </rPr>
          <t xml:space="preserve">
Includes Goodwill</t>
        </r>
      </text>
    </comment>
  </commentList>
</comments>
</file>

<file path=xl/sharedStrings.xml><?xml version="1.0" encoding="utf-8"?>
<sst xmlns="http://schemas.openxmlformats.org/spreadsheetml/2006/main" count="431" uniqueCount="262">
  <si>
    <t>Y/E, Mar (Rs. mn)</t>
  </si>
  <si>
    <t>Growth (%)</t>
  </si>
  <si>
    <t>Expenditure</t>
  </si>
  <si>
    <t>EBITDA</t>
  </si>
  <si>
    <t>EBITDA margin (%)</t>
  </si>
  <si>
    <t>Other Income</t>
  </si>
  <si>
    <t>PBT</t>
  </si>
  <si>
    <t>Tax</t>
  </si>
  <si>
    <t>Effective tax rate (%)</t>
  </si>
  <si>
    <t>PAT</t>
  </si>
  <si>
    <t>Minority Interest</t>
  </si>
  <si>
    <t>EPS</t>
  </si>
  <si>
    <t>Cash Flow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</si>
  <si>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</si>
  <si>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</si>
  <si>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</si>
  <si>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</si>
  <si>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>Our Calculations</t>
  </si>
  <si>
    <t xml:space="preserve">Operating Cash Inflow </t>
  </si>
  <si>
    <t>Capital Expenditure</t>
  </si>
  <si>
    <t>FCF</t>
  </si>
  <si>
    <t xml:space="preserve"> </t>
  </si>
  <si>
    <t>FY14</t>
  </si>
  <si>
    <t>FY15</t>
  </si>
  <si>
    <t>FY16</t>
  </si>
  <si>
    <t>FY17</t>
  </si>
  <si>
    <t>Networth/Shareholders Fund/ Book Value</t>
  </si>
  <si>
    <t>Minority Int</t>
  </si>
  <si>
    <t>Long Term Debt</t>
  </si>
  <si>
    <t>Short Term Debt</t>
  </si>
  <si>
    <t>Loans</t>
  </si>
  <si>
    <t>Capital Employed</t>
  </si>
  <si>
    <t>CURRENT ASSETS, LOANS &amp; ADVANCES</t>
  </si>
  <si>
    <t>Inventories</t>
  </si>
  <si>
    <t>CURRENT LIABILITIES &amp; PROVISIONS</t>
  </si>
  <si>
    <t>NET CURRENT ASSETS</t>
  </si>
  <si>
    <t>Key ratios</t>
  </si>
  <si>
    <t xml:space="preserve">Y/E, Mar 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</si>
  <si>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</si>
  <si>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</si>
  <si>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</si>
  <si>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</si>
  <si>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</si>
  <si>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</si>
  <si>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</si>
  <si>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</si>
  <si>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</si>
  <si>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</si>
  <si>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</si>
  <si>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</si>
  <si>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</si>
  <si>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</si>
  <si>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</si>
  <si>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Working Capital Days</t>
  </si>
  <si>
    <t>Employee Benefit Expense</t>
  </si>
  <si>
    <t>Other Current Assets</t>
  </si>
  <si>
    <t>Other Expenses</t>
  </si>
  <si>
    <t>Other Comprehensive Income</t>
  </si>
  <si>
    <t>Cash and Cash Equivalents at End of the year</t>
  </si>
  <si>
    <t>No. of Shares</t>
  </si>
  <si>
    <t>Market Cap</t>
  </si>
  <si>
    <t>Cash</t>
  </si>
  <si>
    <t>EV</t>
  </si>
  <si>
    <t>Total Debt</t>
  </si>
  <si>
    <t>Other Current liabilities</t>
  </si>
  <si>
    <t>Cash Flow from Investing Activities</t>
  </si>
  <si>
    <t>PAT margin (%)</t>
  </si>
  <si>
    <t>Cash Conversion cycle</t>
  </si>
  <si>
    <t>FY18</t>
  </si>
  <si>
    <t>Interest Cost</t>
  </si>
  <si>
    <t>TOTAL ASSETS</t>
  </si>
  <si>
    <t>TOTAL LIABILITIES</t>
  </si>
  <si>
    <t>Net Income</t>
  </si>
  <si>
    <t>Balance Sheet</t>
  </si>
  <si>
    <t>Income Statement</t>
  </si>
  <si>
    <t>FY19</t>
  </si>
  <si>
    <t>Kiri Industries Ltd. (Consolidated)</t>
  </si>
  <si>
    <t>Revenue from Operations</t>
  </si>
  <si>
    <t>Equity Share Capital</t>
  </si>
  <si>
    <t>Other Equity</t>
  </si>
  <si>
    <t>CAGR (%) - 3 Years</t>
  </si>
  <si>
    <t>Cost of materials cosnumed</t>
  </si>
  <si>
    <t>Purchases of Stock-in-trade</t>
  </si>
  <si>
    <t>Changes in inventory of FG WIP &amp; SIT</t>
  </si>
  <si>
    <t>Excise Duty on sales</t>
  </si>
  <si>
    <t>Property, Palnt and Equipment</t>
  </si>
  <si>
    <t>Capital WIP</t>
  </si>
  <si>
    <t>Other Intangible Assets</t>
  </si>
  <si>
    <t>Non-Current Investments</t>
  </si>
  <si>
    <t>Financial Assets</t>
  </si>
  <si>
    <t>Depreciation and amortisation cost</t>
  </si>
  <si>
    <t>a) Investment</t>
  </si>
  <si>
    <t>Finance Cost</t>
  </si>
  <si>
    <t>b) Other financial assets</t>
  </si>
  <si>
    <t>Excp Item</t>
  </si>
  <si>
    <t>Long Term Loans and Advances</t>
  </si>
  <si>
    <t>Extraordinary Items</t>
  </si>
  <si>
    <t>Other Non-Current assets</t>
  </si>
  <si>
    <t>a) Current Investments</t>
  </si>
  <si>
    <t>b) Trade Receivables</t>
  </si>
  <si>
    <t>c) Cash &amp; Cash Equivalents</t>
  </si>
  <si>
    <t>Share of Profit of associates</t>
  </si>
  <si>
    <t>d) Bank Bal other than above</t>
  </si>
  <si>
    <t>e) Loans</t>
  </si>
  <si>
    <t>PAT After MI (Total Comprehensive Income)</t>
  </si>
  <si>
    <t>f) Other Current Financial Assets</t>
  </si>
  <si>
    <t>Current Tax Assets (Net)</t>
  </si>
  <si>
    <t>CAGR (%)</t>
  </si>
  <si>
    <t>Current Financial Liabilities</t>
  </si>
  <si>
    <t>a) Trade Payables</t>
  </si>
  <si>
    <t>b) Other Financial liabilities</t>
  </si>
  <si>
    <t>Provisions</t>
  </si>
  <si>
    <t>Current Tax Liability (Net)</t>
  </si>
  <si>
    <t>Long Term Provisions</t>
  </si>
  <si>
    <t>Deferred Tax Liability (Net)</t>
  </si>
  <si>
    <t>Trade payable</t>
  </si>
  <si>
    <t>Other Financial Liabilities</t>
  </si>
  <si>
    <t>Defferred tax assets</t>
  </si>
  <si>
    <t>FY20</t>
  </si>
  <si>
    <t>c) Trade Receivables</t>
  </si>
  <si>
    <t>Fixed Assets Turnover Ratio</t>
  </si>
  <si>
    <t>Peer Comparison Analysis - Kiri Industries Ltd.</t>
  </si>
  <si>
    <t>Kiri</t>
  </si>
  <si>
    <t>Bodal</t>
  </si>
  <si>
    <t>Bhageria</t>
  </si>
  <si>
    <t>Sh. Pushkar</t>
  </si>
  <si>
    <t>Aksharchem</t>
  </si>
  <si>
    <t>Atul</t>
  </si>
  <si>
    <t>Net Sales</t>
  </si>
  <si>
    <t>3 Years CAGR (%)</t>
  </si>
  <si>
    <t>EBITDA Margin (%)</t>
  </si>
  <si>
    <t>PAT Margin (%)</t>
  </si>
  <si>
    <t>Balance Sheet Comparision</t>
  </si>
  <si>
    <t>Total Networth</t>
  </si>
  <si>
    <t>Long Term</t>
  </si>
  <si>
    <t>Short Term</t>
  </si>
  <si>
    <t>CFO</t>
  </si>
  <si>
    <t>Enterprise Value(Mn)</t>
  </si>
  <si>
    <t>VALUATIONS COMPARISION</t>
  </si>
  <si>
    <t>Stock P:E</t>
  </si>
  <si>
    <t>Price:Book Value</t>
  </si>
  <si>
    <t>EV/ EBITDA</t>
  </si>
  <si>
    <t>OPERATIONAL RATIOS COMPARISION</t>
  </si>
  <si>
    <t>Book Value per Share</t>
  </si>
  <si>
    <t>ROE</t>
  </si>
  <si>
    <t>ROCE</t>
  </si>
  <si>
    <t>Receivable days</t>
  </si>
  <si>
    <t>Payable days</t>
  </si>
  <si>
    <t>Cash Conversion Cycle</t>
  </si>
  <si>
    <t>Gross Debt/Equity</t>
  </si>
  <si>
    <t>Interest Coverage Ratio</t>
  </si>
  <si>
    <t>Interest Cost (%)</t>
  </si>
  <si>
    <t>Market Cap (as on 31/03/20)</t>
  </si>
  <si>
    <t>Fixed Asset Turnover</t>
  </si>
  <si>
    <t>CMP (as on 31/03/20)</t>
  </si>
  <si>
    <t>Dividend per share</t>
  </si>
  <si>
    <t>INR in Mn</t>
  </si>
  <si>
    <t>37.11*</t>
  </si>
  <si>
    <t>37.42*</t>
  </si>
  <si>
    <t>36.41*</t>
  </si>
  <si>
    <t>38.12*</t>
  </si>
  <si>
    <t>37.47*</t>
  </si>
  <si>
    <t>69.24*</t>
  </si>
  <si>
    <t>51.57*</t>
  </si>
  <si>
    <t>41.57*</t>
  </si>
  <si>
    <t>79.24*</t>
  </si>
  <si>
    <t>26.22*</t>
  </si>
  <si>
    <t>59.47*</t>
  </si>
  <si>
    <t>19.63*</t>
  </si>
  <si>
    <t>47.49*</t>
  </si>
  <si>
    <t>31.62*</t>
  </si>
  <si>
    <t>28.39*</t>
  </si>
  <si>
    <t>86.73*</t>
  </si>
  <si>
    <t>41.15*</t>
  </si>
  <si>
    <t>56.00*</t>
  </si>
  <si>
    <t>71.87*</t>
  </si>
  <si>
    <t>25.15*</t>
  </si>
  <si>
    <t>38.57*</t>
  </si>
  <si>
    <t>Finance cost</t>
  </si>
  <si>
    <t>NA</t>
  </si>
  <si>
    <t>*(As on FY19)</t>
  </si>
  <si>
    <t>H1-FY21</t>
  </si>
  <si>
    <t>9M-FY21</t>
  </si>
  <si>
    <t>-</t>
  </si>
  <si>
    <t>FY21</t>
  </si>
  <si>
    <t>P&amp;L Comparision (As on FY21)</t>
  </si>
  <si>
    <t>Deepak Krishnan 7022619241 Goldman Sachs</t>
  </si>
  <si>
    <t>Mukund Sarawogi 919167357029 Morgan Stanley</t>
  </si>
  <si>
    <t>Niraj Sarvai 9920485752 JM Financial</t>
  </si>
  <si>
    <t>Pratik Jain 918310160193 Goldman Sachs 145 Priyanka Dhingra 9953050667 SBI Mutual Fund</t>
  </si>
  <si>
    <t>Pulkit Patni 9820107735 Goldman Sachs</t>
  </si>
  <si>
    <t>Raj Kiran Gandhi 917506935887 SBI Mutual Fund</t>
  </si>
  <si>
    <t>Rajesh L 918879165509 HSBC</t>
  </si>
  <si>
    <t>Rishabh Gupta 919900696860 Goldman Sachs</t>
  </si>
  <si>
    <t>Q1-FY22</t>
  </si>
  <si>
    <t>H1-FY22</t>
  </si>
  <si>
    <t>Operational Sales</t>
  </si>
  <si>
    <t>CMP (As on 30th Sept)</t>
  </si>
  <si>
    <t>Book Value (Rs.)</t>
  </si>
  <si>
    <t>Asset Turnover</t>
  </si>
  <si>
    <t>Peer Comparison Analysis - Kiri Industries (India) Ltd.</t>
  </si>
  <si>
    <t>Kiri Industries</t>
  </si>
  <si>
    <t>Bodal Chemicals</t>
  </si>
  <si>
    <t>Bhageria Industries</t>
  </si>
  <si>
    <t>Shree Pushkar chemicals</t>
  </si>
  <si>
    <t>Akshar Chemicals</t>
  </si>
  <si>
    <t>Atul Ltd</t>
  </si>
  <si>
    <t>FY22</t>
  </si>
  <si>
    <t>Consolidated (In Mn)</t>
  </si>
  <si>
    <t>Bodal Chemicals Limited</t>
  </si>
  <si>
    <t>Atul Ltd.</t>
  </si>
  <si>
    <t>AksharChem India</t>
  </si>
  <si>
    <t>Shree Pushkar Chemicals &amp; Fertilisers</t>
  </si>
  <si>
    <t>Color Coding</t>
  </si>
  <si>
    <t>P&amp;L Comparison</t>
  </si>
  <si>
    <t>Below Peer Range</t>
  </si>
  <si>
    <t>Total Income/Operational Income</t>
  </si>
  <si>
    <t>Above Peer Range</t>
  </si>
  <si>
    <t>Within Peer Range</t>
  </si>
  <si>
    <t xml:space="preserve">EBITDA </t>
  </si>
  <si>
    <t>Total Networth (Total Equity)</t>
  </si>
  <si>
    <t>Purchase of Plant &amp; Machinery</t>
  </si>
  <si>
    <t>No. of Shares (In Mn)</t>
  </si>
  <si>
    <t>Enterprise Value</t>
  </si>
  <si>
    <t>Cash &amp; Cash Equvivalents</t>
  </si>
  <si>
    <t>Stock P/E</t>
  </si>
  <si>
    <t>Dividend (Total= interim + Final)</t>
  </si>
  <si>
    <t>P/B</t>
  </si>
  <si>
    <t>Operational Ratios Comparison</t>
  </si>
  <si>
    <t>Book Value</t>
  </si>
  <si>
    <t>Book Value Per Share</t>
  </si>
  <si>
    <t>EBIT</t>
  </si>
  <si>
    <t>Depreciation</t>
  </si>
  <si>
    <t>Non Current Liabilities</t>
  </si>
  <si>
    <t>PPE -Balance Sheet</t>
  </si>
  <si>
    <t>CWIP - Balance Sheet</t>
  </si>
  <si>
    <t>Investment- Balance Sheet</t>
  </si>
  <si>
    <t>Net Debt/Equity</t>
  </si>
  <si>
    <t>Forumlas</t>
  </si>
  <si>
    <t>Revenue/Fixed Assets</t>
  </si>
  <si>
    <t>Fixed Assets</t>
  </si>
  <si>
    <t>PPE + CWIP</t>
  </si>
  <si>
    <t>Market Cap+ Total Debt-Cash and Cash Equvivalents</t>
  </si>
  <si>
    <t>Capital Employeed</t>
  </si>
  <si>
    <t>Total Equity+ Non current Liabilities</t>
  </si>
  <si>
    <t>EBIDTA-Dep</t>
  </si>
  <si>
    <t>EBIT/Capital employed</t>
  </si>
  <si>
    <t>Dividend Yeild</t>
  </si>
  <si>
    <t>DPS/CMP</t>
  </si>
  <si>
    <t>Free Cash Flow</t>
  </si>
  <si>
    <t>CFO-Capex</t>
  </si>
  <si>
    <t>Capex</t>
  </si>
  <si>
    <t xml:space="preserve">Purchase of PPE </t>
  </si>
  <si>
    <t>Net Debt</t>
  </si>
  <si>
    <t>Total Debt-Cash and Cash Equvivalent</t>
  </si>
  <si>
    <t>EBIT/Interest Expenses(Finance Cost)</t>
  </si>
  <si>
    <t>Finance cost/Total Debt</t>
  </si>
  <si>
    <t>FY23</t>
  </si>
  <si>
    <t>Total Income/Operational Income 2020 (FY21 -AR)</t>
  </si>
  <si>
    <t>EBITDA 2020(Calculate from ARFY21/Ratestar)</t>
  </si>
  <si>
    <t>PAT 2020 (FY21-AR)</t>
  </si>
  <si>
    <t>CMP (As on 31st March FY22 &amp; FY23)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</si>
</sst>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0.0%"/>
    <numFmt numFmtId="167" formatCode="_ * #,##0_ ;_ * \-#,##0_ ;_ * &quot;-&quot;??_ ;_ @_ "/>
    <numFmt numFmtId="168" formatCode="_ * #,##0.0_ ;_ * \-#,##0.0_ ;_ * &quot;-&quot;??_ ;_ @_ "/>
    <numFmt numFmtId="169" formatCode="_ * #,##0.000000_ ;_ * \-#,##0.000000_ ;_ * &quot;-&quot;??_ ;_ @_ "/>
    <numFmt numFmtId="170" formatCode="#,##0.0"/>
    <numFmt numFmtId="174" formatCode="_ * #,##0.00_ ;_ * \-#,##0.00_ ;_ * &quot;-&quot;??_ ;_ @_ "/>
  </numFmts>
  <fonts count="25">
    <font>
      <sz val="11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u/>
      <sz val="9"/>
      <name val="Arial"/>
      <family val="2"/>
    </font>
    <font>
      <sz val="9"/>
      <color theme="0"/>
      <name val="Arial"/>
      <family val="2"/>
    </font>
    <font>
      <sz val="10"/>
      <color rgb="FF000000"/>
      <name val="MyFirstFont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333333"/>
      <name val="Arial"/>
      <family val="2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174" fontId="3" fillId="0" borderId="0" applyFont="0" applyFill="0" applyBorder="0" applyAlignment="0" applyProtection="0"/>
  </cellStyleXfs>
  <cellXfs count="198">
    <xf numFmtId="0" fontId="0" fillId="0" borderId="0" xfId="0"/>
    <xf numFmtId="165" fontId="4" fillId="0" borderId="1" xfId="0" applyNumberFormat="1" applyFont="1" applyBorder="1"/>
    <xf numFmtId="0" fontId="4" fillId="0" borderId="0" xfId="0" applyFont="1"/>
    <xf numFmtId="165" fontId="4" fillId="0" borderId="0" xfId="0" applyNumberFormat="1" applyFont="1"/>
    <xf numFmtId="0" fontId="5" fillId="0" borderId="1" xfId="0" applyFont="1" applyBorder="1" applyAlignment="1">
      <alignment horizontal="right"/>
    </xf>
    <xf numFmtId="165" fontId="5" fillId="0" borderId="3" xfId="0" applyNumberFormat="1" applyFont="1" applyBorder="1" applyAlignment="1">
      <alignment horizontal="right"/>
    </xf>
    <xf numFmtId="0" fontId="4" fillId="0" borderId="1" xfId="0" applyFont="1" applyBorder="1"/>
    <xf numFmtId="10" fontId="4" fillId="4" borderId="1" xfId="1" applyNumberFormat="1" applyFont="1" applyFill="1" applyBorder="1"/>
    <xf numFmtId="43" fontId="4" fillId="0" borderId="1" xfId="2" applyFont="1" applyFill="1" applyBorder="1"/>
    <xf numFmtId="168" fontId="5" fillId="0" borderId="1" xfId="2" applyNumberFormat="1" applyFont="1" applyFill="1" applyBorder="1"/>
    <xf numFmtId="168" fontId="5" fillId="4" borderId="1" xfId="2" applyNumberFormat="1" applyFont="1" applyFill="1" applyBorder="1"/>
    <xf numFmtId="168" fontId="4" fillId="0" borderId="1" xfId="2" applyNumberFormat="1" applyFont="1" applyBorder="1"/>
    <xf numFmtId="10" fontId="6" fillId="4" borderId="1" xfId="0" applyNumberFormat="1" applyFont="1" applyFill="1" applyBorder="1"/>
    <xf numFmtId="43" fontId="5" fillId="0" borderId="1" xfId="2" applyFont="1" applyFill="1" applyBorder="1"/>
    <xf numFmtId="168" fontId="4" fillId="4" borderId="1" xfId="2" applyNumberFormat="1" applyFont="1" applyFill="1" applyBorder="1"/>
    <xf numFmtId="167" fontId="4" fillId="0" borderId="1" xfId="2" applyNumberFormat="1" applyFont="1" applyFill="1" applyBorder="1"/>
    <xf numFmtId="1" fontId="4" fillId="4" borderId="1" xfId="0" applyNumberFormat="1" applyFont="1" applyFill="1" applyBorder="1"/>
    <xf numFmtId="0" fontId="5" fillId="0" borderId="1" xfId="0" applyFont="1" applyBorder="1" applyAlignment="1">
      <alignment horizontal="center"/>
    </xf>
    <xf numFmtId="168" fontId="5" fillId="4" borderId="3" xfId="2" applyNumberFormat="1" applyFont="1" applyFill="1" applyBorder="1"/>
    <xf numFmtId="0" fontId="5" fillId="0" borderId="0" xfId="0" applyFont="1"/>
    <xf numFmtId="0" fontId="5" fillId="0" borderId="1" xfId="0" applyFont="1" applyBorder="1"/>
    <xf numFmtId="168" fontId="5" fillId="0" borderId="1" xfId="2" applyNumberFormat="1" applyFont="1" applyBorder="1"/>
    <xf numFmtId="10" fontId="4" fillId="0" borderId="0" xfId="1" applyNumberFormat="1" applyFont="1"/>
    <xf numFmtId="168" fontId="4" fillId="0" borderId="3" xfId="2" applyNumberFormat="1" applyFont="1" applyBorder="1"/>
    <xf numFmtId="168" fontId="4" fillId="0" borderId="1" xfId="2" applyNumberFormat="1" applyFont="1" applyFill="1" applyBorder="1"/>
    <xf numFmtId="0" fontId="5" fillId="4" borderId="1" xfId="0" applyFont="1" applyFill="1" applyBorder="1"/>
    <xf numFmtId="0" fontId="6" fillId="4" borderId="1" xfId="0" applyFont="1" applyFill="1" applyBorder="1"/>
    <xf numFmtId="168" fontId="4" fillId="0" borderId="0" xfId="2" applyNumberFormat="1" applyFont="1"/>
    <xf numFmtId="168" fontId="4" fillId="0" borderId="2" xfId="2" applyNumberFormat="1" applyFont="1" applyBorder="1"/>
    <xf numFmtId="10" fontId="5" fillId="4" borderId="1" xfId="0" applyNumberFormat="1" applyFont="1" applyFill="1" applyBorder="1"/>
    <xf numFmtId="43" fontId="4" fillId="0" borderId="0" xfId="0" applyNumberFormat="1" applyFont="1"/>
    <xf numFmtId="10" fontId="5" fillId="4" borderId="1" xfId="1" applyNumberFormat="1" applyFont="1" applyFill="1" applyBorder="1"/>
    <xf numFmtId="165" fontId="5" fillId="4" borderId="1" xfId="0" applyNumberFormat="1" applyFont="1" applyFill="1" applyBorder="1"/>
    <xf numFmtId="0" fontId="4" fillId="4" borderId="1" xfId="0" applyFont="1" applyFill="1" applyBorder="1"/>
    <xf numFmtId="10" fontId="4" fillId="4" borderId="1" xfId="0" applyNumberFormat="1" applyFont="1" applyFill="1" applyBorder="1"/>
    <xf numFmtId="166" fontId="4" fillId="4" borderId="1" xfId="0" applyNumberFormat="1" applyFont="1" applyFill="1" applyBorder="1"/>
    <xf numFmtId="168" fontId="5" fillId="0" borderId="3" xfId="2" applyNumberFormat="1" applyFont="1" applyFill="1" applyBorder="1"/>
    <xf numFmtId="0" fontId="9" fillId="0" borderId="0" xfId="0" applyFont="1"/>
    <xf numFmtId="0" fontId="5" fillId="3" borderId="1" xfId="0" applyFont="1" applyFill="1" applyBorder="1"/>
    <xf numFmtId="168" fontId="2" fillId="4" borderId="1" xfId="2" applyNumberFormat="1" applyFont="1" applyFill="1" applyBorder="1"/>
    <xf numFmtId="165" fontId="5" fillId="0" borderId="1" xfId="0" applyNumberFormat="1" applyFont="1" applyBorder="1"/>
    <xf numFmtId="43" fontId="5" fillId="0" borderId="1" xfId="2" applyFont="1" applyBorder="1"/>
    <xf numFmtId="43" fontId="5" fillId="4" borderId="1" xfId="2" applyFont="1" applyFill="1" applyBorder="1"/>
    <xf numFmtId="165" fontId="4" fillId="4" borderId="1" xfId="0" applyNumberFormat="1" applyFont="1" applyFill="1" applyBorder="1"/>
    <xf numFmtId="43" fontId="4" fillId="4" borderId="1" xfId="2" applyFont="1" applyFill="1" applyBorder="1"/>
    <xf numFmtId="166" fontId="4" fillId="0" borderId="1" xfId="0" applyNumberFormat="1" applyFont="1" applyBorder="1"/>
    <xf numFmtId="3" fontId="10" fillId="0" borderId="1" xfId="0" applyNumberFormat="1" applyFont="1" applyBorder="1"/>
    <xf numFmtId="2" fontId="4" fillId="4" borderId="1" xfId="0" applyNumberFormat="1" applyFont="1" applyFill="1" applyBorder="1"/>
    <xf numFmtId="164" fontId="4" fillId="0" borderId="0" xfId="0" applyNumberFormat="1" applyFont="1"/>
    <xf numFmtId="43" fontId="4" fillId="0" borderId="1" xfId="2" applyFont="1" applyBorder="1"/>
    <xf numFmtId="0" fontId="14" fillId="6" borderId="1" xfId="0" applyFont="1" applyFill="1" applyBorder="1" applyAlignment="1">
      <alignment horizontal="center"/>
    </xf>
    <xf numFmtId="0" fontId="11" fillId="0" borderId="1" xfId="0" applyFont="1" applyBorder="1"/>
    <xf numFmtId="0" fontId="11" fillId="7" borderId="1" xfId="0" applyFont="1" applyFill="1" applyBorder="1"/>
    <xf numFmtId="0" fontId="0" fillId="7" borderId="1" xfId="0" applyFill="1" applyBorder="1"/>
    <xf numFmtId="0" fontId="0" fillId="0" borderId="1" xfId="0" applyBorder="1"/>
    <xf numFmtId="1" fontId="0" fillId="0" borderId="1" xfId="0" applyNumberFormat="1" applyBorder="1"/>
    <xf numFmtId="10" fontId="3" fillId="0" borderId="1" xfId="1" applyNumberFormat="1" applyFont="1" applyFill="1" applyBorder="1"/>
    <xf numFmtId="0" fontId="0" fillId="0" borderId="1" xfId="0" applyBorder="1" applyAlignment="1">
      <alignment horizontal="right"/>
    </xf>
    <xf numFmtId="0" fontId="15" fillId="0" borderId="1" xfId="0" applyFont="1" applyBorder="1" applyAlignment="1">
      <alignment horizontal="right" vertical="center" wrapText="1"/>
    </xf>
    <xf numFmtId="2" fontId="0" fillId="0" borderId="1" xfId="0" applyNumberFormat="1" applyBorder="1"/>
    <xf numFmtId="10" fontId="0" fillId="0" borderId="1" xfId="0" applyNumberFormat="1" applyBorder="1"/>
    <xf numFmtId="2" fontId="3" fillId="0" borderId="1" xfId="1" applyNumberFormat="1" applyFont="1" applyFill="1" applyBorder="1"/>
    <xf numFmtId="2" fontId="3" fillId="0" borderId="1" xfId="2" applyNumberFormat="1" applyFont="1" applyFill="1" applyBorder="1"/>
    <xf numFmtId="10" fontId="0" fillId="0" borderId="1" xfId="1" applyNumberFormat="1" applyFont="1" applyFill="1" applyBorder="1"/>
    <xf numFmtId="1" fontId="0" fillId="0" borderId="0" xfId="0" applyNumberFormat="1"/>
    <xf numFmtId="1" fontId="0" fillId="0" borderId="1" xfId="2" applyNumberFormat="1" applyFont="1" applyFill="1" applyBorder="1"/>
    <xf numFmtId="2" fontId="0" fillId="0" borderId="1" xfId="2" applyNumberFormat="1" applyFont="1" applyFill="1" applyBorder="1"/>
    <xf numFmtId="2" fontId="3" fillId="0" borderId="0" xfId="2" applyNumberFormat="1" applyFont="1" applyFill="1" applyBorder="1"/>
    <xf numFmtId="1" fontId="0" fillId="4" borderId="1" xfId="0" applyNumberFormat="1" applyFill="1" applyBorder="1"/>
    <xf numFmtId="10" fontId="16" fillId="0" borderId="1" xfId="0" applyNumberFormat="1" applyFont="1" applyBorder="1"/>
    <xf numFmtId="10" fontId="3" fillId="4" borderId="1" xfId="1" applyNumberFormat="1" applyFont="1" applyFill="1" applyBorder="1"/>
    <xf numFmtId="10" fontId="0" fillId="4" borderId="1" xfId="0" applyNumberFormat="1" applyFill="1" applyBorder="1"/>
    <xf numFmtId="2" fontId="0" fillId="4" borderId="1" xfId="0" applyNumberFormat="1" applyFill="1" applyBorder="1"/>
    <xf numFmtId="2" fontId="0" fillId="8" borderId="1" xfId="0" applyNumberFormat="1" applyFill="1" applyBorder="1"/>
    <xf numFmtId="10" fontId="3" fillId="8" borderId="1" xfId="1" applyNumberFormat="1" applyFont="1" applyFill="1" applyBorder="1"/>
    <xf numFmtId="2" fontId="3" fillId="4" borderId="1" xfId="1" applyNumberFormat="1" applyFont="1" applyFill="1" applyBorder="1"/>
    <xf numFmtId="1" fontId="0" fillId="8" borderId="1" xfId="2" applyNumberFormat="1" applyFont="1" applyFill="1" applyBorder="1"/>
    <xf numFmtId="1" fontId="0" fillId="4" borderId="1" xfId="2" applyNumberFormat="1" applyFont="1" applyFill="1" applyBorder="1"/>
    <xf numFmtId="2" fontId="3" fillId="8" borderId="1" xfId="2" applyNumberFormat="1" applyFont="1" applyFill="1" applyBorder="1"/>
    <xf numFmtId="2" fontId="0" fillId="4" borderId="1" xfId="2" applyNumberFormat="1" applyFont="1" applyFill="1" applyBorder="1"/>
    <xf numFmtId="10" fontId="0" fillId="8" borderId="1" xfId="1" applyNumberFormat="1" applyFont="1" applyFill="1" applyBorder="1"/>
    <xf numFmtId="0" fontId="17" fillId="0" borderId="9" xfId="0" applyFont="1" applyBorder="1"/>
    <xf numFmtId="0" fontId="0" fillId="4" borderId="1" xfId="0" applyFill="1" applyBorder="1"/>
    <xf numFmtId="0" fontId="5" fillId="7" borderId="0" xfId="0" applyFont="1" applyFill="1" applyAlignment="1">
      <alignment horizontal="center"/>
    </xf>
    <xf numFmtId="168" fontId="4" fillId="7" borderId="0" xfId="2" applyNumberFormat="1" applyFont="1" applyFill="1" applyBorder="1"/>
    <xf numFmtId="0" fontId="5" fillId="0" borderId="3" xfId="0" applyFont="1" applyBorder="1" applyAlignment="1">
      <alignment horizontal="center"/>
    </xf>
    <xf numFmtId="168" fontId="4" fillId="4" borderId="3" xfId="2" applyNumberFormat="1" applyFont="1" applyFill="1" applyBorder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8" fontId="4" fillId="0" borderId="0" xfId="2" applyNumberFormat="1" applyFont="1" applyFill="1" applyBorder="1"/>
    <xf numFmtId="168" fontId="5" fillId="0" borderId="0" xfId="2" applyNumberFormat="1" applyFont="1" applyFill="1" applyBorder="1"/>
    <xf numFmtId="43" fontId="5" fillId="4" borderId="3" xfId="2" applyFont="1" applyFill="1" applyBorder="1"/>
    <xf numFmtId="43" fontId="4" fillId="4" borderId="3" xfId="2" applyFont="1" applyFill="1" applyBorder="1"/>
    <xf numFmtId="10" fontId="4" fillId="4" borderId="3" xfId="0" applyNumberFormat="1" applyFont="1" applyFill="1" applyBorder="1"/>
    <xf numFmtId="2" fontId="4" fillId="4" borderId="3" xfId="0" applyNumberFormat="1" applyFont="1" applyFill="1" applyBorder="1"/>
    <xf numFmtId="10" fontId="4" fillId="4" borderId="3" xfId="1" applyNumberFormat="1" applyFont="1" applyFill="1" applyBorder="1"/>
    <xf numFmtId="1" fontId="4" fillId="4" borderId="3" xfId="0" applyNumberFormat="1" applyFont="1" applyFill="1" applyBorder="1"/>
    <xf numFmtId="43" fontId="4" fillId="0" borderId="3" xfId="2" applyFont="1" applyBorder="1"/>
    <xf numFmtId="3" fontId="10" fillId="0" borderId="0" xfId="0" applyNumberFormat="1" applyFont="1"/>
    <xf numFmtId="10" fontId="3" fillId="9" borderId="1" xfId="1" applyNumberFormat="1" applyFont="1" applyFill="1" applyBorder="1"/>
    <xf numFmtId="0" fontId="0" fillId="8" borderId="1" xfId="0" applyFill="1" applyBorder="1"/>
    <xf numFmtId="1" fontId="0" fillId="9" borderId="1" xfId="2" applyNumberFormat="1" applyFont="1" applyFill="1" applyBorder="1"/>
    <xf numFmtId="0" fontId="0" fillId="0" borderId="10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4" fontId="0" fillId="0" borderId="14" xfId="0" applyNumberFormat="1" applyBorder="1" applyAlignment="1">
      <alignment horizontal="right" wrapText="1"/>
    </xf>
    <xf numFmtId="3" fontId="0" fillId="0" borderId="14" xfId="0" applyNumberFormat="1" applyBorder="1" applyAlignment="1">
      <alignment horizontal="right" wrapText="1"/>
    </xf>
    <xf numFmtId="4" fontId="0" fillId="0" borderId="14" xfId="0" applyNumberFormat="1" applyBorder="1" applyAlignment="1">
      <alignment horizontal="right" vertical="top" wrapText="1"/>
    </xf>
    <xf numFmtId="4" fontId="0" fillId="0" borderId="15" xfId="0" applyNumberFormat="1" applyBorder="1" applyAlignment="1">
      <alignment horizontal="right" vertical="top" wrapText="1"/>
    </xf>
    <xf numFmtId="10" fontId="0" fillId="0" borderId="14" xfId="0" applyNumberFormat="1" applyBorder="1" applyAlignment="1">
      <alignment horizontal="right" wrapText="1"/>
    </xf>
    <xf numFmtId="0" fontId="0" fillId="0" borderId="14" xfId="0" applyBorder="1" applyAlignment="1">
      <alignment horizontal="right" wrapText="1"/>
    </xf>
    <xf numFmtId="10" fontId="0" fillId="0" borderId="14" xfId="0" applyNumberFormat="1" applyBorder="1" applyAlignment="1">
      <alignment wrapText="1"/>
    </xf>
    <xf numFmtId="0" fontId="0" fillId="4" borderId="14" xfId="0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3" fontId="0" fillId="4" borderId="14" xfId="0" applyNumberFormat="1" applyFill="1" applyBorder="1" applyAlignment="1">
      <alignment horizontal="right" wrapText="1"/>
    </xf>
    <xf numFmtId="9" fontId="0" fillId="0" borderId="14" xfId="0" applyNumberFormat="1" applyBorder="1" applyAlignment="1">
      <alignment horizontal="right" wrapText="1"/>
    </xf>
    <xf numFmtId="0" fontId="11" fillId="0" borderId="19" xfId="0" applyFont="1" applyBorder="1" applyAlignment="1">
      <alignment horizontal="center" wrapText="1"/>
    </xf>
    <xf numFmtId="0" fontId="0" fillId="0" borderId="21" xfId="0" applyBorder="1"/>
    <xf numFmtId="0" fontId="11" fillId="0" borderId="20" xfId="0" applyFont="1" applyBorder="1"/>
    <xf numFmtId="0" fontId="0" fillId="0" borderId="9" xfId="0" applyBorder="1"/>
    <xf numFmtId="165" fontId="3" fillId="0" borderId="1" xfId="0" applyNumberFormat="1" applyFont="1" applyBorder="1"/>
    <xf numFmtId="10" fontId="6" fillId="0" borderId="0" xfId="0" applyNumberFormat="1" applyFont="1"/>
    <xf numFmtId="168" fontId="3" fillId="0" borderId="1" xfId="0" applyNumberFormat="1" applyFont="1" applyBorder="1"/>
    <xf numFmtId="168" fontId="4" fillId="0" borderId="1" xfId="0" applyNumberFormat="1" applyFont="1" applyBorder="1"/>
    <xf numFmtId="165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165" fontId="5" fillId="0" borderId="1" xfId="0" applyNumberFormat="1" applyFont="1" applyBorder="1" applyAlignment="1">
      <alignment horizontal="right"/>
    </xf>
    <xf numFmtId="170" fontId="4" fillId="0" borderId="1" xfId="0" applyNumberFormat="1" applyFont="1" applyBorder="1"/>
    <xf numFmtId="2" fontId="4" fillId="0" borderId="1" xfId="0" applyNumberFormat="1" applyFont="1" applyBorder="1"/>
    <xf numFmtId="168" fontId="2" fillId="0" borderId="1" xfId="2" applyNumberFormat="1" applyFont="1" applyFill="1" applyBorder="1"/>
    <xf numFmtId="168" fontId="4" fillId="0" borderId="3" xfId="2" applyNumberFormat="1" applyFont="1" applyFill="1" applyBorder="1"/>
    <xf numFmtId="168" fontId="1" fillId="0" borderId="1" xfId="2" applyNumberFormat="1" applyFont="1" applyFill="1" applyBorder="1"/>
    <xf numFmtId="43" fontId="18" fillId="4" borderId="1" xfId="2" applyFont="1" applyFill="1" applyBorder="1"/>
    <xf numFmtId="43" fontId="19" fillId="0" borderId="1" xfId="2" applyFont="1" applyFill="1" applyBorder="1"/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left"/>
    </xf>
    <xf numFmtId="0" fontId="13" fillId="5" borderId="5" xfId="0" applyFont="1" applyFill="1" applyBorder="1" applyAlignment="1">
      <alignment horizontal="center"/>
    </xf>
    <xf numFmtId="0" fontId="13" fillId="5" borderId="6" xfId="0" applyFont="1" applyFill="1" applyBorder="1" applyAlignment="1">
      <alignment horizontal="center"/>
    </xf>
    <xf numFmtId="0" fontId="14" fillId="7" borderId="3" xfId="0" applyFont="1" applyFill="1" applyBorder="1" applyAlignment="1">
      <alignment horizontal="left"/>
    </xf>
    <xf numFmtId="0" fontId="14" fillId="7" borderId="7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" xfId="0" applyBorder="1" applyAlignment="1">
      <alignment horizontal="center"/>
    </xf>
    <xf numFmtId="0" fontId="11" fillId="0" borderId="16" xfId="0" applyFont="1" applyBorder="1" applyAlignment="1">
      <alignment horizontal="center" wrapText="1"/>
    </xf>
    <xf numFmtId="0" fontId="11" fillId="0" borderId="18" xfId="0" applyFont="1" applyBorder="1" applyAlignment="1">
      <alignment horizontal="center" wrapText="1"/>
    </xf>
    <xf numFmtId="0" fontId="11" fillId="0" borderId="17" xfId="0" applyFont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22" fillId="0" borderId="0" xfId="0" applyFont="1"/>
    <xf numFmtId="0" fontId="23" fillId="0" borderId="6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6" xfId="0" applyFont="1" applyBorder="1"/>
    <xf numFmtId="0" fontId="23" fillId="0" borderId="3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3" xfId="0" applyFont="1" applyBorder="1" applyAlignment="1">
      <alignment horizontal="left"/>
    </xf>
    <xf numFmtId="0" fontId="23" fillId="0" borderId="8" xfId="0" applyFont="1" applyBorder="1" applyAlignment="1">
      <alignment horizontal="left"/>
    </xf>
    <xf numFmtId="0" fontId="22" fillId="0" borderId="9" xfId="0" applyFont="1" applyBorder="1"/>
    <xf numFmtId="0" fontId="22" fillId="0" borderId="22" xfId="0" applyFont="1" applyBorder="1"/>
    <xf numFmtId="0" fontId="24" fillId="0" borderId="9" xfId="0" applyFont="1" applyBorder="1"/>
    <xf numFmtId="174" fontId="22" fillId="0" borderId="9" xfId="4" applyFont="1" applyFill="1" applyBorder="1"/>
    <xf numFmtId="174" fontId="22" fillId="0" borderId="9" xfId="4" applyFont="1" applyBorder="1"/>
    <xf numFmtId="174" fontId="22" fillId="0" borderId="22" xfId="4" applyFont="1" applyBorder="1"/>
    <xf numFmtId="0" fontId="23" fillId="0" borderId="0" xfId="0" applyFont="1"/>
    <xf numFmtId="2" fontId="22" fillId="0" borderId="9" xfId="0" applyNumberFormat="1" applyFont="1" applyBorder="1" applyAlignment="1">
      <alignment horizontal="right"/>
    </xf>
    <xf numFmtId="174" fontId="22" fillId="0" borderId="9" xfId="4" applyFont="1" applyBorder="1" applyAlignment="1">
      <alignment horizontal="right"/>
    </xf>
    <xf numFmtId="0" fontId="22" fillId="10" borderId="0" xfId="0" applyFont="1" applyFill="1"/>
    <xf numFmtId="10" fontId="22" fillId="0" borderId="9" xfId="1" applyNumberFormat="1" applyFont="1" applyFill="1" applyBorder="1"/>
    <xf numFmtId="0" fontId="22" fillId="8" borderId="0" xfId="0" applyFont="1" applyFill="1"/>
    <xf numFmtId="0" fontId="22" fillId="4" borderId="0" xfId="0" applyFont="1" applyFill="1"/>
    <xf numFmtId="167" fontId="22" fillId="0" borderId="22" xfId="4" applyNumberFormat="1" applyFont="1" applyBorder="1"/>
    <xf numFmtId="3" fontId="22" fillId="0" borderId="0" xfId="0" applyNumberFormat="1" applyFont="1"/>
    <xf numFmtId="167" fontId="22" fillId="0" borderId="9" xfId="4" applyNumberFormat="1" applyFont="1" applyFill="1" applyBorder="1"/>
    <xf numFmtId="174" fontId="22" fillId="0" borderId="9" xfId="0" applyNumberFormat="1" applyFont="1" applyBorder="1"/>
    <xf numFmtId="174" fontId="22" fillId="4" borderId="22" xfId="4" applyFont="1" applyFill="1" applyBorder="1"/>
    <xf numFmtId="2" fontId="22" fillId="0" borderId="9" xfId="0" applyNumberFormat="1" applyFont="1" applyBorder="1"/>
    <xf numFmtId="2" fontId="22" fillId="0" borderId="9" xfId="1" applyNumberFormat="1" applyFont="1" applyFill="1" applyBorder="1"/>
    <xf numFmtId="0" fontId="22" fillId="0" borderId="9" xfId="4" applyNumberFormat="1" applyFont="1" applyFill="1" applyBorder="1"/>
    <xf numFmtId="167" fontId="22" fillId="0" borderId="9" xfId="1" applyNumberFormat="1" applyFont="1" applyFill="1" applyBorder="1"/>
    <xf numFmtId="174" fontId="22" fillId="0" borderId="9" xfId="1" applyNumberFormat="1" applyFont="1" applyFill="1" applyBorder="1"/>
    <xf numFmtId="2" fontId="22" fillId="0" borderId="4" xfId="1" applyNumberFormat="1" applyFont="1" applyFill="1" applyBorder="1"/>
    <xf numFmtId="2" fontId="22" fillId="0" borderId="9" xfId="4" applyNumberFormat="1" applyFont="1" applyBorder="1"/>
    <xf numFmtId="2" fontId="22" fillId="0" borderId="22" xfId="4" applyNumberFormat="1" applyFont="1" applyBorder="1"/>
    <xf numFmtId="2" fontId="22" fillId="0" borderId="9" xfId="1" applyNumberFormat="1" applyFont="1" applyBorder="1"/>
    <xf numFmtId="0" fontId="22" fillId="0" borderId="2" xfId="0" applyFont="1" applyBorder="1"/>
    <xf numFmtId="10" fontId="22" fillId="0" borderId="2" xfId="1" applyNumberFormat="1" applyFont="1" applyFill="1" applyBorder="1"/>
    <xf numFmtId="169" fontId="22" fillId="0" borderId="0" xfId="0" applyNumberFormat="1" applyFont="1"/>
  </cellXfs>
  <cellStyles count="5">
    <cellStyle name="Comma" xfId="2" builtinId="3"/>
    <cellStyle name="Comma 2" xfId="4" xr:uid="{DF20D2A4-A8CF-4C35-8550-655885DD1793}"/>
    <cellStyle name="Normal" xfId="0" builtinId="0"/>
    <cellStyle name="Percent" xfId="1" builtinId="5"/>
    <cellStyle name="Style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89"/>
  <sheetViews>
    <sheetView showWhiteSpace="0" topLeftCell="G1" zoomScaleNormal="100" zoomScalePageLayoutView="55" workbookViewId="0">
      <selection activeCell="AA49" sqref="AA49"/>
    </sheetView>
  </sheetViews>
  <sheetFormatPr defaultColWidth="9.140625" defaultRowHeight="12"/>
  <cols>
    <col min="1" max="1" width="32" style="2" customWidth="1"/>
    <col min="2" max="5" width="14.140625" style="2" hidden="1" customWidth="1"/>
    <col min="6" max="8" width="14.140625" style="2" customWidth="1"/>
    <col min="9" max="9" width="14.140625" style="2" hidden="1" customWidth="1"/>
    <col min="10" max="10" width="14.140625" style="2" customWidth="1"/>
    <col min="11" max="11" width="14.140625" style="2" hidden="1" customWidth="1"/>
    <col min="12" max="13" width="14.140625" style="2" customWidth="1"/>
    <col min="14" max="14" width="4.140625" style="2" customWidth="1"/>
    <col min="15" max="15" width="36.7109375" style="2" customWidth="1"/>
    <col min="16" max="16" width="13.85546875" style="2" hidden="1" customWidth="1"/>
    <col min="17" max="17" width="10.5703125" style="2" hidden="1" customWidth="1"/>
    <col min="18" max="18" width="13.85546875" style="2" hidden="1" customWidth="1"/>
    <col min="19" max="19" width="11.7109375" style="2" hidden="1" customWidth="1"/>
    <col min="20" max="20" width="11.7109375" style="3" customWidth="1"/>
    <col min="21" max="22" width="11.7109375" style="2" customWidth="1"/>
    <col min="23" max="23" width="10.7109375" style="2" hidden="1" customWidth="1"/>
    <col min="24" max="24" width="12" style="2" customWidth="1"/>
    <col min="25" max="25" width="11.85546875" style="2" customWidth="1"/>
    <col min="26" max="26" width="11.28515625" style="2" customWidth="1"/>
    <col min="27" max="16384" width="9.140625" style="2"/>
  </cols>
  <sheetData>
    <row r="1" spans="1:26" ht="15">
      <c r="A1" s="137" t="s">
        <v>76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</row>
    <row r="2" spans="1:26" ht="11.45" customHeight="1">
      <c r="A2" s="135" t="s">
        <v>74</v>
      </c>
      <c r="B2" s="136"/>
      <c r="C2" s="136"/>
      <c r="D2" s="136"/>
      <c r="E2" s="136"/>
      <c r="F2" s="136"/>
      <c r="G2" s="136"/>
      <c r="H2" s="136"/>
      <c r="I2" s="136"/>
      <c r="J2" s="87"/>
      <c r="K2" s="87"/>
      <c r="L2" s="87"/>
      <c r="M2" s="87"/>
      <c r="N2" s="19"/>
      <c r="O2" s="135" t="s">
        <v>73</v>
      </c>
      <c r="P2" s="136"/>
      <c r="Q2" s="136"/>
      <c r="R2" s="136"/>
      <c r="S2" s="136"/>
      <c r="T2" s="136"/>
      <c r="U2" s="136"/>
      <c r="V2" s="136"/>
    </row>
    <row r="3" spans="1:26">
      <c r="A3" s="20" t="s">
        <v>0</v>
      </c>
      <c r="B3" s="17" t="s">
        <v>22</v>
      </c>
      <c r="C3" s="17" t="s">
        <v>23</v>
      </c>
      <c r="D3" s="17" t="s">
        <v>24</v>
      </c>
      <c r="E3" s="17" t="s">
        <v>25</v>
      </c>
      <c r="F3" s="17" t="s">
        <v>68</v>
      </c>
      <c r="G3" s="17" t="s">
        <v>75</v>
      </c>
      <c r="H3" s="17" t="s">
        <v>118</v>
      </c>
      <c r="I3" s="17" t="s">
        <v>182</v>
      </c>
      <c r="J3" s="17" t="s">
        <v>184</v>
      </c>
      <c r="K3" s="17" t="s">
        <v>194</v>
      </c>
      <c r="L3" s="17" t="s">
        <v>207</v>
      </c>
      <c r="M3" s="17" t="s">
        <v>257</v>
      </c>
      <c r="N3" s="19"/>
      <c r="O3" s="20" t="s">
        <v>0</v>
      </c>
      <c r="P3" s="4" t="s">
        <v>22</v>
      </c>
      <c r="Q3" s="4" t="s">
        <v>23</v>
      </c>
      <c r="R3" s="4" t="s">
        <v>24</v>
      </c>
      <c r="S3" s="5" t="s">
        <v>25</v>
      </c>
      <c r="T3" s="5" t="s">
        <v>68</v>
      </c>
      <c r="U3" s="5" t="s">
        <v>75</v>
      </c>
      <c r="V3" s="5" t="s">
        <v>118</v>
      </c>
      <c r="W3" s="5" t="s">
        <v>181</v>
      </c>
      <c r="X3" s="5" t="s">
        <v>184</v>
      </c>
      <c r="Y3" s="127" t="s">
        <v>207</v>
      </c>
      <c r="Z3" s="17" t="s">
        <v>257</v>
      </c>
    </row>
    <row r="4" spans="1:26">
      <c r="A4" s="20" t="s">
        <v>77</v>
      </c>
      <c r="B4" s="21">
        <v>6912.23</v>
      </c>
      <c r="C4" s="21">
        <v>9307.8670000000002</v>
      </c>
      <c r="D4" s="21">
        <v>10329.472</v>
      </c>
      <c r="E4" s="21">
        <v>11982.502</v>
      </c>
      <c r="F4" s="9">
        <v>11351.683000000001</v>
      </c>
      <c r="G4" s="9">
        <v>13938.288</v>
      </c>
      <c r="H4" s="9">
        <v>13053.88</v>
      </c>
      <c r="I4" s="9">
        <v>5941.3119999999999</v>
      </c>
      <c r="J4" s="9">
        <v>9570.2860000000001</v>
      </c>
      <c r="K4" s="9">
        <v>2927.8069999999998</v>
      </c>
      <c r="L4" s="9">
        <v>14969.14</v>
      </c>
      <c r="M4" s="128">
        <f>94506.58/10</f>
        <v>9450.6579999999994</v>
      </c>
      <c r="N4" s="22"/>
      <c r="O4" s="6" t="s">
        <v>78</v>
      </c>
      <c r="P4" s="11">
        <v>190.001</v>
      </c>
      <c r="Q4" s="11">
        <v>270.58600000000001</v>
      </c>
      <c r="R4" s="11">
        <v>308.83499999999998</v>
      </c>
      <c r="S4" s="11">
        <v>278.44</v>
      </c>
      <c r="T4" s="23">
        <v>302.44</v>
      </c>
      <c r="U4" s="11">
        <v>313.44</v>
      </c>
      <c r="V4" s="11">
        <v>336.20600000000002</v>
      </c>
      <c r="W4" s="11">
        <v>336.20600000000002</v>
      </c>
      <c r="X4" s="6">
        <v>336.2</v>
      </c>
      <c r="Y4" s="1">
        <v>518.34</v>
      </c>
      <c r="Z4" s="1">
        <v>518.34</v>
      </c>
    </row>
    <row r="5" spans="1:26">
      <c r="A5" s="6" t="s">
        <v>5</v>
      </c>
      <c r="B5" s="11">
        <v>8.9009999999999998</v>
      </c>
      <c r="C5" s="11">
        <v>19.731999999999999</v>
      </c>
      <c r="D5" s="11">
        <v>87.460999999999999</v>
      </c>
      <c r="E5" s="11">
        <v>24.800999999999998</v>
      </c>
      <c r="F5" s="24">
        <v>15.907999999999999</v>
      </c>
      <c r="G5" s="24">
        <v>26.753</v>
      </c>
      <c r="H5" s="24">
        <v>52.875</v>
      </c>
      <c r="I5" s="24">
        <v>17.859000000000002</v>
      </c>
      <c r="J5" s="24">
        <v>22.373000000000001</v>
      </c>
      <c r="K5" s="24">
        <v>4.2409999999999997</v>
      </c>
      <c r="L5" s="24">
        <v>19.84</v>
      </c>
      <c r="M5" s="1">
        <f>333.56/10</f>
        <v>33.356000000000002</v>
      </c>
      <c r="O5" s="6" t="s">
        <v>79</v>
      </c>
      <c r="P5" s="11">
        <f>1578.376+28.845</f>
        <v>1607.221</v>
      </c>
      <c r="Q5" s="11">
        <f>3696.368+510-2.574</f>
        <v>4203.7940000000008</v>
      </c>
      <c r="R5" s="11">
        <f>5982.328+175.984-22.025</f>
        <v>6136.2870000000012</v>
      </c>
      <c r="S5" s="11">
        <v>10046.382</v>
      </c>
      <c r="T5" s="23">
        <v>13744.59</v>
      </c>
      <c r="U5" s="11">
        <v>15359.853999999999</v>
      </c>
      <c r="V5" s="11">
        <v>18998.099999999999</v>
      </c>
      <c r="W5" s="11">
        <v>19230.29</v>
      </c>
      <c r="X5" s="1">
        <v>21508.240000000002</v>
      </c>
      <c r="Y5" s="1">
        <v>25208.06</v>
      </c>
      <c r="Z5" s="1">
        <f>262745.21/10</f>
        <v>26274.521000000001</v>
      </c>
    </row>
    <row r="6" spans="1:26">
      <c r="A6" s="25" t="s">
        <v>72</v>
      </c>
      <c r="B6" s="10">
        <f t="shared" ref="B6:G6" si="0">B4+B5</f>
        <v>6921.1309999999994</v>
      </c>
      <c r="C6" s="10">
        <f t="shared" si="0"/>
        <v>9327.5990000000002</v>
      </c>
      <c r="D6" s="10">
        <f t="shared" si="0"/>
        <v>10416.932999999999</v>
      </c>
      <c r="E6" s="10">
        <f t="shared" si="0"/>
        <v>12007.303</v>
      </c>
      <c r="F6" s="10">
        <f t="shared" si="0"/>
        <v>11367.591</v>
      </c>
      <c r="G6" s="10">
        <f t="shared" si="0"/>
        <v>13965.041000000001</v>
      </c>
      <c r="H6" s="10">
        <f>H4+H5</f>
        <v>13106.754999999999</v>
      </c>
      <c r="I6" s="10">
        <f>I4+I5</f>
        <v>5959.1710000000003</v>
      </c>
      <c r="J6" s="10">
        <f>J4+J5</f>
        <v>9592.6589999999997</v>
      </c>
      <c r="K6" s="10">
        <f t="shared" ref="K6" si="1">K4+K5</f>
        <v>2932.0479999999998</v>
      </c>
      <c r="L6" s="10">
        <f>L4+L5</f>
        <v>14988.98</v>
      </c>
      <c r="M6" s="10">
        <f>M4+M5</f>
        <v>9484.0139999999992</v>
      </c>
      <c r="N6" s="48"/>
      <c r="O6" s="25" t="s">
        <v>26</v>
      </c>
      <c r="P6" s="10">
        <f t="shared" ref="P6:U6" si="2">(P4+P5)</f>
        <v>1797.222</v>
      </c>
      <c r="Q6" s="10">
        <f t="shared" si="2"/>
        <v>4474.380000000001</v>
      </c>
      <c r="R6" s="10">
        <f t="shared" si="2"/>
        <v>6445.1220000000012</v>
      </c>
      <c r="S6" s="10">
        <f t="shared" si="2"/>
        <v>10324.822</v>
      </c>
      <c r="T6" s="10">
        <f t="shared" si="2"/>
        <v>14047.03</v>
      </c>
      <c r="U6" s="10">
        <f t="shared" si="2"/>
        <v>15673.294</v>
      </c>
      <c r="V6" s="10">
        <f>(V4+V5)</f>
        <v>19334.305999999997</v>
      </c>
      <c r="W6" s="10">
        <f>(W4+W5)</f>
        <v>19566.495999999999</v>
      </c>
      <c r="X6" s="10">
        <f>(X4+X5)</f>
        <v>21844.440000000002</v>
      </c>
      <c r="Y6" s="10">
        <f>(Y4+Y5)</f>
        <v>25726.400000000001</v>
      </c>
      <c r="Z6" s="10">
        <f>(Z4+Z5)</f>
        <v>26792.861000000001</v>
      </c>
    </row>
    <row r="7" spans="1:26">
      <c r="A7" s="26" t="s">
        <v>1</v>
      </c>
      <c r="B7" s="12"/>
      <c r="C7" s="12">
        <f t="shared" ref="C7:H7" si="3">(C6/B6-1)</f>
        <v>0.34769866370106284</v>
      </c>
      <c r="D7" s="12">
        <f t="shared" si="3"/>
        <v>0.1167861096944669</v>
      </c>
      <c r="E7" s="12">
        <f t="shared" si="3"/>
        <v>0.15267161649210959</v>
      </c>
      <c r="F7" s="12">
        <f t="shared" si="3"/>
        <v>-5.327690989392031E-2</v>
      </c>
      <c r="G7" s="12">
        <f t="shared" si="3"/>
        <v>0.22849608153565693</v>
      </c>
      <c r="H7" s="12">
        <f t="shared" si="3"/>
        <v>-6.1459611898024624E-2</v>
      </c>
      <c r="I7" s="12">
        <f>(I6/H6-1)</f>
        <v>-0.54533589740557442</v>
      </c>
      <c r="J7" s="12">
        <f>(J6/H6-1)</f>
        <v>-0.26811335071114095</v>
      </c>
      <c r="K7" s="12">
        <f t="shared" ref="K7" si="4">(K6/I6-1)</f>
        <v>-0.50797720018438808</v>
      </c>
      <c r="L7" s="12">
        <f>(L6/J6-1)</f>
        <v>0.56254694344915213</v>
      </c>
      <c r="M7" s="6"/>
      <c r="O7" s="6" t="s">
        <v>27</v>
      </c>
      <c r="P7" s="11"/>
      <c r="Q7" s="11"/>
      <c r="R7" s="11"/>
      <c r="S7" s="11"/>
      <c r="T7" s="23"/>
      <c r="U7" s="11"/>
      <c r="V7" s="11"/>
      <c r="W7" s="11"/>
      <c r="X7" s="6"/>
      <c r="Y7" s="6"/>
      <c r="Z7" s="6">
        <f>-2.18/10</f>
        <v>-0.21800000000000003</v>
      </c>
    </row>
    <row r="8" spans="1:26" ht="15">
      <c r="A8" s="26" t="s">
        <v>80</v>
      </c>
      <c r="B8" s="12"/>
      <c r="C8" s="12"/>
      <c r="D8" s="12"/>
      <c r="E8" s="12"/>
      <c r="F8" s="12">
        <f>+((F6/C6)^(1/3)-1)</f>
        <v>6.8151506729021705E-2</v>
      </c>
      <c r="G8" s="12">
        <f>+((G6/D6)^(1/3)-1)</f>
        <v>0.10264094345757901</v>
      </c>
      <c r="H8" s="12">
        <f>+((H6/E6)^(1/3)-1)</f>
        <v>2.9634858127732588E-2</v>
      </c>
      <c r="I8" s="12">
        <f>+((I6/F6)^(1/3)-1)</f>
        <v>-0.1936830252299836</v>
      </c>
      <c r="J8" s="12">
        <f>+((J6/F6)^(1/3)-1)</f>
        <v>-5.5018030127749529E-2</v>
      </c>
      <c r="K8" s="12">
        <f t="shared" ref="K8" si="5">+((K6/G6)^(1/3)-1)</f>
        <v>-0.40564906046451932</v>
      </c>
      <c r="L8" s="12">
        <f>+((L6/G6)^(1/3)-1)</f>
        <v>2.3866393537736785E-2</v>
      </c>
      <c r="M8" s="6"/>
      <c r="O8" s="6" t="s">
        <v>28</v>
      </c>
      <c r="P8" s="11">
        <v>4955.598</v>
      </c>
      <c r="Q8" s="11">
        <v>7346.1480000000001</v>
      </c>
      <c r="R8" s="11">
        <v>2688.53</v>
      </c>
      <c r="S8" s="11">
        <v>1579.212</v>
      </c>
      <c r="T8" s="23">
        <v>1563.5029999999999</v>
      </c>
      <c r="U8" s="11">
        <v>1487.557</v>
      </c>
      <c r="V8" s="11">
        <v>959.60299999999995</v>
      </c>
      <c r="W8" s="11">
        <v>1458.6769999999999</v>
      </c>
      <c r="X8" s="123">
        <v>951.53</v>
      </c>
      <c r="Y8" s="124">
        <v>267.08</v>
      </c>
      <c r="Z8" s="124">
        <f>4115.37/10</f>
        <v>411.53699999999998</v>
      </c>
    </row>
    <row r="9" spans="1:26">
      <c r="A9" s="25" t="s">
        <v>2</v>
      </c>
      <c r="B9" s="10">
        <f t="shared" ref="B9:G9" si="6">SUM(B10:B15)</f>
        <v>6185.9529999999995</v>
      </c>
      <c r="C9" s="10">
        <f t="shared" si="6"/>
        <v>8312.8680000000004</v>
      </c>
      <c r="D9" s="10">
        <f t="shared" si="6"/>
        <v>9165.3580000000002</v>
      </c>
      <c r="E9" s="10">
        <f t="shared" si="6"/>
        <v>10393.023999999999</v>
      </c>
      <c r="F9" s="10">
        <f t="shared" si="6"/>
        <v>9542.3709999999992</v>
      </c>
      <c r="G9" s="10">
        <f t="shared" si="6"/>
        <v>11628.027</v>
      </c>
      <c r="H9" s="10">
        <f>SUM(H10:H15)</f>
        <v>11193.310999999998</v>
      </c>
      <c r="I9" s="10">
        <f>SUM(I10:I15)</f>
        <v>5605.6949999999997</v>
      </c>
      <c r="J9" s="10">
        <f>SUM(J10:J15)</f>
        <v>8744.3329999999987</v>
      </c>
      <c r="K9" s="10">
        <f t="shared" ref="K9" si="7">SUM(K10:K15)</f>
        <v>2727.0740000000005</v>
      </c>
      <c r="L9" s="10">
        <f>SUM(L10:L15)</f>
        <v>13756.25</v>
      </c>
      <c r="M9" s="10">
        <f>SUM(M10:M15)</f>
        <v>9825.4989999999998</v>
      </c>
      <c r="O9" s="6" t="s">
        <v>29</v>
      </c>
      <c r="P9" s="11">
        <v>1652.4570000000001</v>
      </c>
      <c r="Q9" s="11">
        <v>523.84199999999998</v>
      </c>
      <c r="R9" s="11">
        <v>146.012</v>
      </c>
      <c r="S9" s="11">
        <v>235.196</v>
      </c>
      <c r="T9" s="23">
        <v>31.742000000000001</v>
      </c>
      <c r="U9" s="11">
        <v>5.72</v>
      </c>
      <c r="V9" s="11">
        <v>5.7220000000000004</v>
      </c>
      <c r="W9" s="11">
        <v>5.5</v>
      </c>
      <c r="X9" s="124">
        <v>533.5</v>
      </c>
      <c r="Y9" s="124">
        <v>691.54</v>
      </c>
      <c r="Z9" s="124">
        <f>402.76/10</f>
        <v>40.275999999999996</v>
      </c>
    </row>
    <row r="10" spans="1:26">
      <c r="A10" s="6" t="s">
        <v>81</v>
      </c>
      <c r="B10" s="11">
        <v>4379.5349999999999</v>
      </c>
      <c r="C10" s="11">
        <v>6078.8379999999997</v>
      </c>
      <c r="D10" s="11">
        <v>7336.8530000000001</v>
      </c>
      <c r="E10" s="11">
        <v>7197.0959999999995</v>
      </c>
      <c r="F10" s="24">
        <v>6809.4110000000001</v>
      </c>
      <c r="G10" s="24">
        <v>8635.2039999999997</v>
      </c>
      <c r="H10" s="24">
        <v>7659.16</v>
      </c>
      <c r="I10" s="24">
        <v>3559.5569999999998</v>
      </c>
      <c r="J10" s="24">
        <v>5770.2650000000003</v>
      </c>
      <c r="K10" s="24">
        <v>1952.442</v>
      </c>
      <c r="L10" s="24">
        <v>10210.91</v>
      </c>
      <c r="M10" s="1">
        <f>60427.5/10</f>
        <v>6042.75</v>
      </c>
      <c r="O10" s="25" t="s">
        <v>30</v>
      </c>
      <c r="P10" s="10">
        <f t="shared" ref="P10:U10" si="8">(P8+P9)</f>
        <v>6608.0550000000003</v>
      </c>
      <c r="Q10" s="10">
        <f t="shared" si="8"/>
        <v>7869.99</v>
      </c>
      <c r="R10" s="10">
        <f t="shared" si="8"/>
        <v>2834.5420000000004</v>
      </c>
      <c r="S10" s="10">
        <f t="shared" si="8"/>
        <v>1814.4079999999999</v>
      </c>
      <c r="T10" s="10">
        <f t="shared" si="8"/>
        <v>1595.2449999999999</v>
      </c>
      <c r="U10" s="10">
        <f t="shared" si="8"/>
        <v>1493.277</v>
      </c>
      <c r="V10" s="10">
        <f>(V8+V9)</f>
        <v>965.32499999999993</v>
      </c>
      <c r="W10" s="10">
        <f>(W8+W9)</f>
        <v>1464.1769999999999</v>
      </c>
      <c r="X10" s="10">
        <f>(X8+X9)</f>
        <v>1485.03</v>
      </c>
      <c r="Y10" s="10">
        <f>(Y8+Y9)</f>
        <v>958.61999999999989</v>
      </c>
      <c r="Z10" s="10">
        <f>(Z8+Z9)</f>
        <v>451.81299999999999</v>
      </c>
    </row>
    <row r="11" spans="1:26">
      <c r="A11" s="6" t="s">
        <v>82</v>
      </c>
      <c r="B11" s="11">
        <v>72.775000000000006</v>
      </c>
      <c r="C11" s="11">
        <v>214.346</v>
      </c>
      <c r="D11" s="11">
        <v>143.78200000000001</v>
      </c>
      <c r="E11" s="11">
        <v>504.99099999999999</v>
      </c>
      <c r="F11" s="24">
        <v>479.44</v>
      </c>
      <c r="G11" s="24">
        <v>607.91499999999996</v>
      </c>
      <c r="H11" s="24">
        <v>433.83800000000002</v>
      </c>
      <c r="I11" s="24">
        <v>212.54599999999999</v>
      </c>
      <c r="J11" s="24">
        <v>412.50299999999999</v>
      </c>
      <c r="K11" s="24">
        <v>201.22399999999999</v>
      </c>
      <c r="L11" s="24">
        <v>530.76</v>
      </c>
      <c r="M11" s="1">
        <f>5997.14/10</f>
        <v>599.71400000000006</v>
      </c>
      <c r="O11" s="25" t="s">
        <v>31</v>
      </c>
      <c r="P11" s="10">
        <f>(P6+P8+P7+P48+P45+P46)</f>
        <v>7029.6509999999998</v>
      </c>
      <c r="Q11" s="10">
        <f>(Q6+Q8+Q7+Q48+Q45+Q46)</f>
        <v>12126.527000000004</v>
      </c>
      <c r="R11" s="10">
        <f>(R6+R8+R7+R48+R45+R46)</f>
        <v>9472.9590000000026</v>
      </c>
      <c r="S11" s="10">
        <f>(S6+S8+S7+S48+S45+S46)</f>
        <v>12349.489</v>
      </c>
      <c r="T11" s="10">
        <f>(T6+T8+T7+T48+T45+T46)</f>
        <v>16088.573</v>
      </c>
      <c r="U11" s="10">
        <f t="shared" ref="U11:Z11" si="9">(U6+U8+U7+U48+U45+U46+U47)</f>
        <v>17398.38</v>
      </c>
      <c r="V11" s="10">
        <f t="shared" si="9"/>
        <v>20498.281999999996</v>
      </c>
      <c r="W11" s="10">
        <f t="shared" si="9"/>
        <v>21252.647000000001</v>
      </c>
      <c r="X11" s="10">
        <f t="shared" si="9"/>
        <v>22969.418000000001</v>
      </c>
      <c r="Y11" s="10">
        <f t="shared" si="9"/>
        <v>26077.590000000004</v>
      </c>
      <c r="Z11" s="10">
        <f t="shared" si="9"/>
        <v>27297.689000000002</v>
      </c>
    </row>
    <row r="12" spans="1:26">
      <c r="A12" s="6" t="s">
        <v>83</v>
      </c>
      <c r="B12" s="11">
        <v>640.47699999999998</v>
      </c>
      <c r="C12" s="11">
        <v>288.33199999999999</v>
      </c>
      <c r="D12" s="11">
        <v>1.214</v>
      </c>
      <c r="E12" s="11">
        <v>145.03399999999999</v>
      </c>
      <c r="F12" s="24">
        <v>-220.55799999999999</v>
      </c>
      <c r="G12" s="24">
        <v>-154.864</v>
      </c>
      <c r="H12" s="24">
        <v>35.110999999999997</v>
      </c>
      <c r="I12" s="24">
        <v>26.123999999999999</v>
      </c>
      <c r="J12" s="24">
        <v>-117.51900000000001</v>
      </c>
      <c r="K12" s="24">
        <v>-192.68700000000001</v>
      </c>
      <c r="L12" s="24">
        <v>-545.36</v>
      </c>
      <c r="M12" s="1">
        <f>2608.77/10</f>
        <v>260.87700000000001</v>
      </c>
      <c r="O12" s="25" t="s">
        <v>31</v>
      </c>
      <c r="P12" s="10">
        <f t="shared" ref="P12:U12" si="10">P50-P37-P9</f>
        <v>7029.6509999999998</v>
      </c>
      <c r="Q12" s="10">
        <f t="shared" si="10"/>
        <v>12126.526999999998</v>
      </c>
      <c r="R12" s="10">
        <f t="shared" si="10"/>
        <v>9472.9590000000007</v>
      </c>
      <c r="S12" s="10">
        <f t="shared" si="10"/>
        <v>12349.488000000001</v>
      </c>
      <c r="T12" s="10">
        <f t="shared" si="10"/>
        <v>16088.473</v>
      </c>
      <c r="U12" s="10">
        <f t="shared" si="10"/>
        <v>17398.38</v>
      </c>
      <c r="V12" s="10">
        <f>V50-V37-V9</f>
        <v>20498.292000000001</v>
      </c>
      <c r="W12" s="10">
        <f>W50-W37-W9</f>
        <v>21252.646999999997</v>
      </c>
      <c r="X12" s="10">
        <f>X50-X37-X9</f>
        <v>22969.432000000004</v>
      </c>
      <c r="Y12" s="10">
        <f>Y50-Y37-Y9</f>
        <v>26077.570000000003</v>
      </c>
      <c r="Z12" s="10">
        <f>Z50-Z37-Z9</f>
        <v>27297.6911</v>
      </c>
    </row>
    <row r="13" spans="1:26">
      <c r="A13" s="6" t="s">
        <v>54</v>
      </c>
      <c r="B13" s="11">
        <v>154.542</v>
      </c>
      <c r="C13" s="11">
        <v>420.67899999999997</v>
      </c>
      <c r="D13" s="11">
        <v>246.41900000000001</v>
      </c>
      <c r="E13" s="11">
        <v>314.05599999999998</v>
      </c>
      <c r="F13" s="24">
        <v>382.16</v>
      </c>
      <c r="G13" s="24">
        <v>417.10899999999998</v>
      </c>
      <c r="H13" s="24">
        <v>488.43900000000002</v>
      </c>
      <c r="I13" s="24">
        <v>345.94</v>
      </c>
      <c r="J13" s="24">
        <v>487.98899999999998</v>
      </c>
      <c r="K13" s="24">
        <v>143.541</v>
      </c>
      <c r="L13" s="24">
        <v>601.78</v>
      </c>
      <c r="M13" s="1">
        <f>5097.68/10</f>
        <v>509.76800000000003</v>
      </c>
      <c r="O13" s="6"/>
      <c r="P13" s="24"/>
      <c r="Q13" s="24"/>
      <c r="R13" s="24"/>
      <c r="S13" s="24"/>
      <c r="T13" s="24"/>
      <c r="U13" s="24"/>
      <c r="V13" s="24"/>
      <c r="W13" s="11"/>
      <c r="X13" s="6"/>
      <c r="Y13" s="6"/>
      <c r="Z13" s="6"/>
    </row>
    <row r="14" spans="1:26">
      <c r="A14" s="6" t="s">
        <v>56</v>
      </c>
      <c r="B14" s="11">
        <v>938.62400000000002</v>
      </c>
      <c r="C14" s="11">
        <v>1310.673</v>
      </c>
      <c r="D14" s="11">
        <v>1437.09</v>
      </c>
      <c r="E14" s="11">
        <v>1502.0260000000001</v>
      </c>
      <c r="F14" s="24">
        <v>1909.5509999999999</v>
      </c>
      <c r="G14" s="24">
        <v>2122.663</v>
      </c>
      <c r="H14" s="24">
        <v>2576.7629999999999</v>
      </c>
      <c r="I14" s="24">
        <v>1461.528</v>
      </c>
      <c r="J14" s="24">
        <v>2191.0949999999998</v>
      </c>
      <c r="K14" s="24">
        <v>622.55399999999997</v>
      </c>
      <c r="L14" s="24">
        <v>2958.16</v>
      </c>
      <c r="M14" s="1">
        <f>24123.9/10</f>
        <v>2412.3900000000003</v>
      </c>
      <c r="P14" s="27"/>
      <c r="Q14" s="27"/>
      <c r="R14" s="27"/>
      <c r="S14" s="27"/>
      <c r="T14" s="27"/>
      <c r="U14" s="28"/>
      <c r="V14" s="28"/>
      <c r="W14" s="11"/>
      <c r="X14" s="6"/>
      <c r="Y14" s="6"/>
      <c r="Z14" s="6"/>
    </row>
    <row r="15" spans="1:26" ht="15">
      <c r="A15" s="6" t="s">
        <v>84</v>
      </c>
      <c r="B15" s="11">
        <v>0</v>
      </c>
      <c r="C15" s="11">
        <v>0</v>
      </c>
      <c r="D15" s="11">
        <v>0</v>
      </c>
      <c r="E15" s="11">
        <v>729.82100000000003</v>
      </c>
      <c r="F15" s="24">
        <v>182.36699999999999</v>
      </c>
      <c r="G15" s="24">
        <v>0</v>
      </c>
      <c r="H15" s="24">
        <v>0</v>
      </c>
      <c r="I15" s="24" t="s">
        <v>183</v>
      </c>
      <c r="J15" s="24" t="s">
        <v>183</v>
      </c>
      <c r="K15" s="24" t="s">
        <v>183</v>
      </c>
      <c r="L15" s="24"/>
      <c r="M15" s="6"/>
      <c r="O15" s="6" t="s">
        <v>85</v>
      </c>
      <c r="P15" s="11">
        <v>4353.3829999999998</v>
      </c>
      <c r="Q15" s="11">
        <v>4560.63</v>
      </c>
      <c r="R15" s="11">
        <v>3384.7109999999998</v>
      </c>
      <c r="S15" s="11">
        <v>3667.5830000000001</v>
      </c>
      <c r="T15" s="23">
        <v>4032.8429999999998</v>
      </c>
      <c r="U15" s="11">
        <v>4768.875</v>
      </c>
      <c r="V15" s="11">
        <v>5061.585</v>
      </c>
      <c r="W15" s="11">
        <v>4964.9849999999997</v>
      </c>
      <c r="X15" s="121">
        <v>5591.0110000000004</v>
      </c>
      <c r="Y15" s="1">
        <v>5430.36</v>
      </c>
      <c r="Z15" s="54">
        <f>50806.22/10</f>
        <v>5080.6220000000003</v>
      </c>
    </row>
    <row r="16" spans="1:26">
      <c r="A16" s="25" t="s">
        <v>3</v>
      </c>
      <c r="B16" s="10">
        <f>(B6-B9)</f>
        <v>735.17799999999988</v>
      </c>
      <c r="C16" s="10">
        <f>(C6-C9)</f>
        <v>1014.7309999999998</v>
      </c>
      <c r="D16" s="10">
        <f>(D6-D9)</f>
        <v>1251.5749999999989</v>
      </c>
      <c r="E16" s="10">
        <f t="shared" ref="E16:K16" si="11">(E4-E9)</f>
        <v>1589.478000000001</v>
      </c>
      <c r="F16" s="10">
        <f t="shared" si="11"/>
        <v>1809.3120000000017</v>
      </c>
      <c r="G16" s="10">
        <f t="shared" si="11"/>
        <v>2310.2610000000004</v>
      </c>
      <c r="H16" s="10">
        <f t="shared" si="11"/>
        <v>1860.5690000000013</v>
      </c>
      <c r="I16" s="10">
        <f t="shared" si="11"/>
        <v>335.61700000000019</v>
      </c>
      <c r="J16" s="10">
        <f t="shared" si="11"/>
        <v>825.95300000000134</v>
      </c>
      <c r="K16" s="10">
        <f t="shared" si="11"/>
        <v>200.73299999999927</v>
      </c>
      <c r="L16" s="10">
        <f>(L4-L9)</f>
        <v>1212.8899999999994</v>
      </c>
      <c r="M16" s="10">
        <f>(M4-M9)</f>
        <v>-374.84100000000035</v>
      </c>
      <c r="O16" s="6" t="s">
        <v>86</v>
      </c>
      <c r="P16" s="11">
        <v>0</v>
      </c>
      <c r="Q16" s="11">
        <v>0</v>
      </c>
      <c r="R16" s="11">
        <v>0</v>
      </c>
      <c r="S16" s="11">
        <v>360.339</v>
      </c>
      <c r="T16" s="23">
        <v>321.28500000000003</v>
      </c>
      <c r="U16" s="11">
        <v>377.28500000000003</v>
      </c>
      <c r="V16" s="11">
        <v>785.31100000000004</v>
      </c>
      <c r="W16" s="11">
        <v>962.74900000000002</v>
      </c>
      <c r="X16" s="1">
        <v>584.149</v>
      </c>
      <c r="Y16" s="1">
        <v>629.24</v>
      </c>
      <c r="Z16" s="1">
        <f>7250.1/10</f>
        <v>725.01</v>
      </c>
    </row>
    <row r="17" spans="1:26" ht="15">
      <c r="A17" s="26" t="s">
        <v>1</v>
      </c>
      <c r="B17" s="12"/>
      <c r="C17" s="12">
        <f t="shared" ref="C17:H17" si="12">(C16/B16-1)</f>
        <v>0.38025212941627728</v>
      </c>
      <c r="D17" s="12">
        <f t="shared" si="12"/>
        <v>0.23340570062410548</v>
      </c>
      <c r="E17" s="12">
        <f t="shared" si="12"/>
        <v>0.26998222239977809</v>
      </c>
      <c r="F17" s="12">
        <f t="shared" si="12"/>
        <v>0.13830578340813804</v>
      </c>
      <c r="G17" s="12">
        <f t="shared" si="12"/>
        <v>0.27687264551387392</v>
      </c>
      <c r="H17" s="12">
        <f t="shared" si="12"/>
        <v>-0.19464986856463362</v>
      </c>
      <c r="I17" s="12">
        <f>(I16/H16-1)</f>
        <v>-0.81961593469524652</v>
      </c>
      <c r="J17" s="12">
        <f>(J16/H16-1)</f>
        <v>-0.5560750501593863</v>
      </c>
      <c r="K17" s="12">
        <f t="shared" ref="K17" si="13">(K16/I16-1)</f>
        <v>-0.40189859274113304</v>
      </c>
      <c r="L17" s="12">
        <f>(L16/J16-1)</f>
        <v>0.46847338771091995</v>
      </c>
      <c r="M17" s="6"/>
      <c r="O17" s="6" t="s">
        <v>87</v>
      </c>
      <c r="P17" s="11">
        <v>0</v>
      </c>
      <c r="Q17" s="11">
        <v>0</v>
      </c>
      <c r="R17" s="11">
        <v>0</v>
      </c>
      <c r="S17" s="11">
        <v>95.775999999999996</v>
      </c>
      <c r="T17" s="23">
        <v>84.61</v>
      </c>
      <c r="U17" s="11">
        <v>70.495999999999995</v>
      </c>
      <c r="V17" s="11">
        <v>56.067</v>
      </c>
      <c r="W17" s="11">
        <v>48.976999999999997</v>
      </c>
      <c r="X17" s="121">
        <v>42.109000000000002</v>
      </c>
      <c r="Y17" s="1">
        <v>28.29</v>
      </c>
      <c r="Z17" s="1">
        <f>142.63/10</f>
        <v>14.263</v>
      </c>
    </row>
    <row r="18" spans="1:26">
      <c r="A18" s="26" t="s">
        <v>80</v>
      </c>
      <c r="B18" s="12"/>
      <c r="C18" s="12"/>
      <c r="D18" s="12"/>
      <c r="E18" s="12"/>
      <c r="F18" s="12">
        <f>+((F16/C16)^(1/3)-1)</f>
        <v>0.21260916155732956</v>
      </c>
      <c r="G18" s="12">
        <f>+((G16/D16)^(1/3)-1)</f>
        <v>0.22668971040752339</v>
      </c>
      <c r="H18" s="12">
        <f>+((H16/E16)^(1/3)-1)</f>
        <v>5.3894374860900429E-2</v>
      </c>
      <c r="I18" s="12">
        <f>+((I16/F16)^(1/3)-1)</f>
        <v>-0.42969108237558495</v>
      </c>
      <c r="J18" s="12">
        <f>+((J16/F16)^(1/3)-1)</f>
        <v>-0.23001790945873102</v>
      </c>
      <c r="K18" s="12">
        <f t="shared" ref="K18" si="14">+((K16/G16)^(1/3)-1)</f>
        <v>-0.55708616848754577</v>
      </c>
      <c r="L18" s="12">
        <f>+((L16/G16)^(1/3)-1)</f>
        <v>-0.19328501741182957</v>
      </c>
      <c r="M18" s="6"/>
      <c r="O18" s="6" t="s">
        <v>88</v>
      </c>
      <c r="P18" s="11">
        <v>1961.405</v>
      </c>
      <c r="Q18" s="11">
        <v>3943.6010000000001</v>
      </c>
      <c r="R18" s="11">
        <v>5678.3280000000004</v>
      </c>
      <c r="S18" s="11">
        <v>7163.3010000000004</v>
      </c>
      <c r="T18" s="23">
        <v>9476.7710000000006</v>
      </c>
      <c r="U18" s="11">
        <v>9541.6839999999993</v>
      </c>
      <c r="V18" s="11">
        <v>12139.757</v>
      </c>
      <c r="W18" s="11">
        <v>12765.254999999999</v>
      </c>
      <c r="X18" s="1">
        <v>14447.004000000001</v>
      </c>
      <c r="Y18" s="1">
        <v>17805.57</v>
      </c>
      <c r="Z18" s="1">
        <f>199214.76/10</f>
        <v>19921.476000000002</v>
      </c>
    </row>
    <row r="19" spans="1:26">
      <c r="A19" s="25" t="s">
        <v>4</v>
      </c>
      <c r="B19" s="29">
        <f t="shared" ref="B19:G19" si="15">(B16/B6)</f>
        <v>0.10622223448739808</v>
      </c>
      <c r="C19" s="29">
        <f t="shared" si="15"/>
        <v>0.10878801715210953</v>
      </c>
      <c r="D19" s="29">
        <f t="shared" si="15"/>
        <v>0.12014812805266185</v>
      </c>
      <c r="E19" s="29">
        <f t="shared" si="15"/>
        <v>0.13237593821027094</v>
      </c>
      <c r="F19" s="29">
        <f t="shared" si="15"/>
        <v>0.15916406563184773</v>
      </c>
      <c r="G19" s="29">
        <f t="shared" si="15"/>
        <v>0.16543173772278938</v>
      </c>
      <c r="H19" s="29">
        <f>(H16/H6)</f>
        <v>0.14195496902169921</v>
      </c>
      <c r="I19" s="29">
        <f>(I16/I6)</f>
        <v>5.6319410871075885E-2</v>
      </c>
      <c r="J19" s="29">
        <f>(J16/J6)</f>
        <v>8.6102612424772046E-2</v>
      </c>
      <c r="K19" s="29">
        <f t="shared" ref="K19" si="16">(K16/K6)</f>
        <v>6.8461703219046641E-2</v>
      </c>
      <c r="L19" s="29">
        <f>(L16/L6)</f>
        <v>8.0918781664929801E-2</v>
      </c>
      <c r="M19" s="29">
        <f>(M16/M6)</f>
        <v>-3.9523454942179584E-2</v>
      </c>
      <c r="O19" s="6" t="s">
        <v>89</v>
      </c>
      <c r="P19" s="11"/>
      <c r="Q19" s="11"/>
      <c r="R19" s="11"/>
      <c r="S19" s="11"/>
      <c r="T19" s="23"/>
      <c r="U19" s="11"/>
      <c r="V19" s="11"/>
      <c r="W19" s="11"/>
      <c r="X19" s="1"/>
      <c r="Y19" s="1"/>
      <c r="Z19" s="1"/>
    </row>
    <row r="20" spans="1:26">
      <c r="A20" s="6" t="s">
        <v>90</v>
      </c>
      <c r="B20" s="11">
        <v>365.72800000000001</v>
      </c>
      <c r="C20" s="11">
        <v>283.57799999999997</v>
      </c>
      <c r="D20" s="11">
        <v>268.62599999999998</v>
      </c>
      <c r="E20" s="11">
        <v>291.08</v>
      </c>
      <c r="F20" s="24">
        <v>340.68099999999998</v>
      </c>
      <c r="G20" s="24">
        <v>375.584</v>
      </c>
      <c r="H20" s="24">
        <v>443.983</v>
      </c>
      <c r="I20" s="24">
        <v>326.20299999999997</v>
      </c>
      <c r="J20" s="24">
        <v>461.28100000000001</v>
      </c>
      <c r="K20" s="24">
        <v>126.953</v>
      </c>
      <c r="L20" s="24">
        <v>501.65</v>
      </c>
      <c r="M20" s="1">
        <f>4888.19/10</f>
        <v>488.81899999999996</v>
      </c>
      <c r="O20" s="6" t="s">
        <v>91</v>
      </c>
      <c r="P20" s="11">
        <v>0</v>
      </c>
      <c r="Q20" s="11">
        <v>0</v>
      </c>
      <c r="R20" s="11">
        <v>0</v>
      </c>
      <c r="S20" s="11">
        <v>2.3809999999999998</v>
      </c>
      <c r="T20" s="23">
        <v>0.62</v>
      </c>
      <c r="U20" s="11">
        <v>0.62</v>
      </c>
      <c r="V20" s="11">
        <v>0.62</v>
      </c>
      <c r="W20" s="11">
        <v>0.62</v>
      </c>
      <c r="X20" s="1">
        <v>0.77900000000000003</v>
      </c>
      <c r="Y20" s="1">
        <v>0.28999999999999998</v>
      </c>
      <c r="Z20" s="1">
        <f>2.79/10</f>
        <v>0.27900000000000003</v>
      </c>
    </row>
    <row r="21" spans="1:26">
      <c r="A21" s="6" t="s">
        <v>92</v>
      </c>
      <c r="B21" s="11">
        <v>802.21900000000005</v>
      </c>
      <c r="C21" s="11">
        <v>863.06500000000005</v>
      </c>
      <c r="D21" s="11">
        <v>734.79499999999996</v>
      </c>
      <c r="E21" s="11">
        <v>91.156999999999996</v>
      </c>
      <c r="F21" s="24">
        <v>34.841000000000001</v>
      </c>
      <c r="G21" s="24">
        <v>50.847999999999999</v>
      </c>
      <c r="H21" s="24">
        <v>48.362000000000002</v>
      </c>
      <c r="I21" s="24">
        <v>29.411999999999999</v>
      </c>
      <c r="J21" s="24">
        <v>40.087000000000003</v>
      </c>
      <c r="K21" s="24">
        <v>9.9559999999999995</v>
      </c>
      <c r="L21" s="24">
        <v>47.82</v>
      </c>
      <c r="M21" s="1">
        <f>631.02/10</f>
        <v>63.101999999999997</v>
      </c>
      <c r="N21" s="30"/>
      <c r="O21" s="6" t="s">
        <v>93</v>
      </c>
      <c r="P21" s="11">
        <v>0</v>
      </c>
      <c r="Q21" s="11">
        <v>0</v>
      </c>
      <c r="R21" s="11">
        <v>0</v>
      </c>
      <c r="S21" s="11">
        <v>71.25</v>
      </c>
      <c r="T21" s="23">
        <v>73.745000000000005</v>
      </c>
      <c r="U21" s="24">
        <v>99.673000000000002</v>
      </c>
      <c r="V21" s="11">
        <v>120.16500000000001</v>
      </c>
      <c r="W21" s="11">
        <v>121.43600000000001</v>
      </c>
      <c r="X21" s="1">
        <v>130.57499999999999</v>
      </c>
      <c r="Y21" s="1">
        <v>133.93</v>
      </c>
      <c r="Z21" s="1">
        <f>1620.88/10</f>
        <v>162.08800000000002</v>
      </c>
    </row>
    <row r="22" spans="1:26">
      <c r="A22" s="6" t="s">
        <v>94</v>
      </c>
      <c r="B22" s="11">
        <v>0</v>
      </c>
      <c r="C22" s="11">
        <v>0</v>
      </c>
      <c r="D22" s="11">
        <v>0</v>
      </c>
      <c r="E22" s="11">
        <v>0</v>
      </c>
      <c r="F22" s="24">
        <v>0</v>
      </c>
      <c r="G22" s="24">
        <v>0</v>
      </c>
      <c r="H22" s="24">
        <v>0</v>
      </c>
      <c r="I22" s="24"/>
      <c r="J22" s="24">
        <v>0</v>
      </c>
      <c r="K22" s="24"/>
      <c r="L22" s="24"/>
      <c r="M22" s="6"/>
      <c r="O22" s="6" t="s">
        <v>119</v>
      </c>
      <c r="P22" s="11"/>
      <c r="Q22" s="11"/>
      <c r="R22" s="11"/>
      <c r="S22" s="11"/>
      <c r="T22" s="23"/>
      <c r="U22" s="24">
        <v>35.646999999999998</v>
      </c>
      <c r="V22" s="11">
        <v>20.071999999999999</v>
      </c>
      <c r="W22" s="11">
        <v>1.956</v>
      </c>
      <c r="X22" s="1">
        <v>12.467000000000001</v>
      </c>
      <c r="Y22" s="1">
        <v>7.79</v>
      </c>
      <c r="Z22" s="1">
        <f>136.62/10</f>
        <v>13.662000000000001</v>
      </c>
    </row>
    <row r="23" spans="1:26">
      <c r="A23" s="6" t="s">
        <v>96</v>
      </c>
      <c r="B23" s="11">
        <v>-287.661</v>
      </c>
      <c r="C23" s="11">
        <v>0</v>
      </c>
      <c r="D23" s="11">
        <v>46.962000000000003</v>
      </c>
      <c r="E23" s="11">
        <v>0</v>
      </c>
      <c r="F23" s="24">
        <v>0</v>
      </c>
      <c r="G23" s="24">
        <v>0</v>
      </c>
      <c r="H23" s="24">
        <v>0</v>
      </c>
      <c r="I23" s="24"/>
      <c r="J23" s="24">
        <v>0</v>
      </c>
      <c r="K23" s="24"/>
      <c r="L23" s="24"/>
      <c r="M23" s="6"/>
      <c r="O23" s="6" t="s">
        <v>95</v>
      </c>
      <c r="P23" s="11">
        <v>220.53899999999999</v>
      </c>
      <c r="Q23" s="11">
        <v>238.55</v>
      </c>
      <c r="R23" s="11">
        <v>148.72800000000001</v>
      </c>
      <c r="S23" s="11">
        <v>0</v>
      </c>
      <c r="T23" s="23"/>
      <c r="U23" s="11">
        <v>0</v>
      </c>
      <c r="V23" s="11">
        <v>0</v>
      </c>
      <c r="W23" s="11"/>
      <c r="X23" s="1">
        <v>0</v>
      </c>
      <c r="Y23" s="1">
        <v>0</v>
      </c>
      <c r="Z23" s="1">
        <v>0</v>
      </c>
    </row>
    <row r="24" spans="1:26">
      <c r="A24" s="25" t="s">
        <v>6</v>
      </c>
      <c r="B24" s="10">
        <f>(B16-B20-B21+B22+B23)</f>
        <v>-720.43000000000018</v>
      </c>
      <c r="C24" s="10">
        <f>(C16-C20-C21+C22+C23)</f>
        <v>-131.91200000000026</v>
      </c>
      <c r="D24" s="10">
        <f>(D16-D20-D21+D22+D23)</f>
        <v>295.11599999999896</v>
      </c>
      <c r="E24" s="10">
        <f t="shared" ref="E24:K24" si="17">(E16-E20-E21+E22+E23+E5)</f>
        <v>1232.0420000000011</v>
      </c>
      <c r="F24" s="10">
        <f t="shared" si="17"/>
        <v>1449.6980000000017</v>
      </c>
      <c r="G24" s="10">
        <f t="shared" si="17"/>
        <v>1910.5820000000003</v>
      </c>
      <c r="H24" s="10">
        <f t="shared" si="17"/>
        <v>1421.0990000000013</v>
      </c>
      <c r="I24" s="10">
        <f t="shared" si="17"/>
        <v>-2.1389999999997826</v>
      </c>
      <c r="J24" s="10">
        <f t="shared" si="17"/>
        <v>346.95800000000133</v>
      </c>
      <c r="K24" s="10">
        <f t="shared" si="17"/>
        <v>68.064999999999259</v>
      </c>
      <c r="L24" s="10">
        <f>(L16-L20-L21+L22+L23+L5)</f>
        <v>683.25999999999942</v>
      </c>
      <c r="M24" s="10">
        <f>(M16-M20-M21+M22+M23+M5)</f>
        <v>-893.40600000000029</v>
      </c>
      <c r="O24" s="6" t="s">
        <v>97</v>
      </c>
      <c r="P24" s="11">
        <v>7.9480000000000004</v>
      </c>
      <c r="Q24" s="11">
        <v>14.313000000000001</v>
      </c>
      <c r="R24" s="11">
        <v>0.85599999999999998</v>
      </c>
      <c r="S24" s="11">
        <v>254.85</v>
      </c>
      <c r="T24" s="23">
        <v>295.77300000000002</v>
      </c>
      <c r="U24" s="11">
        <v>778.89400000000001</v>
      </c>
      <c r="V24" s="11">
        <v>735.42899999999997</v>
      </c>
      <c r="W24" s="11">
        <v>755.17600000000004</v>
      </c>
      <c r="X24" s="1">
        <v>699.6</v>
      </c>
      <c r="Y24" s="1">
        <v>780.24</v>
      </c>
      <c r="Z24" s="1">
        <f>6137.72/10</f>
        <v>613.77200000000005</v>
      </c>
    </row>
    <row r="25" spans="1:26">
      <c r="A25" s="6" t="s">
        <v>7</v>
      </c>
      <c r="B25" s="11">
        <v>6.3959999999999999</v>
      </c>
      <c r="C25" s="11">
        <v>29.262</v>
      </c>
      <c r="D25" s="11">
        <v>38.374000000000002</v>
      </c>
      <c r="E25" s="11">
        <v>137.005</v>
      </c>
      <c r="F25" s="24">
        <v>182.95500000000001</v>
      </c>
      <c r="G25" s="24">
        <v>334.34100000000001</v>
      </c>
      <c r="H25" s="24">
        <f>303.165-39.027</f>
        <v>264.13800000000003</v>
      </c>
      <c r="I25" s="24">
        <v>172.221</v>
      </c>
      <c r="J25" s="24">
        <v>129.22800000000001</v>
      </c>
      <c r="K25" s="24">
        <v>0.4</v>
      </c>
      <c r="L25" s="24">
        <v>154.08000000000001</v>
      </c>
      <c r="M25" s="1">
        <f>1563.19/10</f>
        <v>156.31900000000002</v>
      </c>
      <c r="O25" s="6" t="s">
        <v>117</v>
      </c>
      <c r="P25" s="11"/>
      <c r="Q25" s="11"/>
      <c r="R25" s="11"/>
      <c r="S25" s="11"/>
      <c r="T25" s="23"/>
      <c r="U25" s="11"/>
      <c r="V25" s="11">
        <v>0</v>
      </c>
      <c r="W25" s="11"/>
      <c r="X25" s="1">
        <v>71.844999999999999</v>
      </c>
      <c r="Y25" s="1">
        <v>133.02000000000001</v>
      </c>
      <c r="Z25" s="1">
        <f>1500.34/10</f>
        <v>150.03399999999999</v>
      </c>
    </row>
    <row r="26" spans="1:26">
      <c r="A26" s="26" t="s">
        <v>8</v>
      </c>
      <c r="B26" s="12">
        <v>0</v>
      </c>
      <c r="C26" s="12">
        <v>0</v>
      </c>
      <c r="D26" s="12">
        <f t="shared" ref="D26:K26" si="18">(D25/D24)</f>
        <v>0.13003022540289289</v>
      </c>
      <c r="E26" s="12">
        <f t="shared" si="18"/>
        <v>0.11120156618037362</v>
      </c>
      <c r="F26" s="12">
        <f t="shared" si="18"/>
        <v>0.12620214692991216</v>
      </c>
      <c r="G26" s="12">
        <f t="shared" si="18"/>
        <v>0.17499432110215629</v>
      </c>
      <c r="H26" s="12">
        <f t="shared" si="18"/>
        <v>0.18586882405800004</v>
      </c>
      <c r="I26" s="12">
        <f t="shared" si="18"/>
        <v>-80.514726507722074</v>
      </c>
      <c r="J26" s="12">
        <f t="shared" si="18"/>
        <v>0.37246006721274483</v>
      </c>
      <c r="K26" s="12">
        <f t="shared" si="18"/>
        <v>5.8767354734445658E-3</v>
      </c>
      <c r="L26" s="12">
        <f>(L25/L24)</f>
        <v>0.22550712759418104</v>
      </c>
      <c r="M26" s="12">
        <f>(M25/M24)</f>
        <v>-0.17496972261211585</v>
      </c>
      <c r="N26" s="122"/>
      <c r="O26" s="25" t="s">
        <v>32</v>
      </c>
      <c r="P26" s="10">
        <f t="shared" ref="P26:U26" si="19">SUM(P27:P36)</f>
        <v>5580.9880000000003</v>
      </c>
      <c r="Q26" s="10">
        <f t="shared" si="19"/>
        <v>6799.6559999999999</v>
      </c>
      <c r="R26" s="10">
        <f t="shared" si="19"/>
        <v>4179.3160000000007</v>
      </c>
      <c r="S26" s="10">
        <f t="shared" si="19"/>
        <v>3114.8330000000001</v>
      </c>
      <c r="T26" s="10">
        <f t="shared" si="19"/>
        <v>3958.491</v>
      </c>
      <c r="U26" s="10">
        <f t="shared" si="19"/>
        <v>4910.2999999999984</v>
      </c>
      <c r="V26" s="10">
        <f>SUM(V27:V36)</f>
        <v>5118.6600000000008</v>
      </c>
      <c r="W26" s="10">
        <f>SUM(W27:W36)</f>
        <v>4875.3359999999993</v>
      </c>
      <c r="X26" s="10">
        <f>SUM(X27:X36)</f>
        <v>5420.7780000000012</v>
      </c>
      <c r="Y26" s="10">
        <f>SUM(Y27:Y36)</f>
        <v>5793.5</v>
      </c>
      <c r="Z26" s="10">
        <f>SUM(Z27:Z36)</f>
        <v>5329.6351000000004</v>
      </c>
    </row>
    <row r="27" spans="1:26">
      <c r="A27" s="25" t="s">
        <v>9</v>
      </c>
      <c r="B27" s="10">
        <f t="shared" ref="B27:K27" si="20">(B24-B25)</f>
        <v>-726.82600000000014</v>
      </c>
      <c r="C27" s="10">
        <f t="shared" si="20"/>
        <v>-161.17400000000026</v>
      </c>
      <c r="D27" s="10">
        <f t="shared" si="20"/>
        <v>256.74199999999894</v>
      </c>
      <c r="E27" s="10">
        <f t="shared" si="20"/>
        <v>1095.0370000000012</v>
      </c>
      <c r="F27" s="10">
        <f t="shared" si="20"/>
        <v>1266.7430000000018</v>
      </c>
      <c r="G27" s="10">
        <f t="shared" si="20"/>
        <v>1576.2410000000004</v>
      </c>
      <c r="H27" s="10">
        <f t="shared" si="20"/>
        <v>1156.9610000000011</v>
      </c>
      <c r="I27" s="10">
        <f t="shared" si="20"/>
        <v>-174.35999999999979</v>
      </c>
      <c r="J27" s="10">
        <f t="shared" si="20"/>
        <v>217.73000000000133</v>
      </c>
      <c r="K27" s="10">
        <f t="shared" si="20"/>
        <v>67.664999999999253</v>
      </c>
      <c r="L27" s="10">
        <f>(L24-L25)</f>
        <v>529.17999999999938</v>
      </c>
      <c r="M27" s="10">
        <f>(M24-M25)</f>
        <v>-1049.7250000000004</v>
      </c>
      <c r="O27" s="6" t="s">
        <v>33</v>
      </c>
      <c r="P27" s="11">
        <v>1395.806</v>
      </c>
      <c r="Q27" s="11">
        <v>1015.442</v>
      </c>
      <c r="R27" s="11">
        <v>857.75900000000001</v>
      </c>
      <c r="S27" s="11">
        <v>825.00099999999998</v>
      </c>
      <c r="T27" s="23">
        <v>1190.749</v>
      </c>
      <c r="U27" s="11">
        <v>1685.5119999999999</v>
      </c>
      <c r="V27" s="11">
        <v>1426.9659999999999</v>
      </c>
      <c r="W27" s="11">
        <v>1470.998</v>
      </c>
      <c r="X27" s="1">
        <v>1690.434</v>
      </c>
      <c r="Y27" s="1">
        <v>2451.0300000000002</v>
      </c>
      <c r="Z27" s="1">
        <f>19478.26/10</f>
        <v>1947.8259999999998</v>
      </c>
    </row>
    <row r="28" spans="1:26">
      <c r="A28" s="25" t="s">
        <v>66</v>
      </c>
      <c r="B28" s="31">
        <v>0</v>
      </c>
      <c r="C28" s="31">
        <v>0</v>
      </c>
      <c r="D28" s="31">
        <f t="shared" ref="D28:K28" si="21">D27/D6</f>
        <v>2.4646601835684165E-2</v>
      </c>
      <c r="E28" s="31">
        <f t="shared" si="21"/>
        <v>9.1197582004884953E-2</v>
      </c>
      <c r="F28" s="31">
        <f t="shared" si="21"/>
        <v>0.11143460386637782</v>
      </c>
      <c r="G28" s="31">
        <f t="shared" si="21"/>
        <v>0.11287048852917798</v>
      </c>
      <c r="H28" s="31">
        <f t="shared" si="21"/>
        <v>8.827211617215712E-2</v>
      </c>
      <c r="I28" s="31">
        <f t="shared" si="21"/>
        <v>-2.9259103321586138E-2</v>
      </c>
      <c r="J28" s="31">
        <f t="shared" si="21"/>
        <v>2.2697564877475717E-2</v>
      </c>
      <c r="K28" s="31">
        <f t="shared" si="21"/>
        <v>2.3077725876247339E-2</v>
      </c>
      <c r="L28" s="31">
        <f>L27/L6</f>
        <v>3.5304603782245314E-2</v>
      </c>
      <c r="M28" s="31">
        <f>M27/M6</f>
        <v>-0.11068361982595137</v>
      </c>
      <c r="O28" s="6" t="s">
        <v>89</v>
      </c>
      <c r="P28" s="11"/>
      <c r="Q28" s="11"/>
      <c r="R28" s="11"/>
      <c r="S28" s="11"/>
      <c r="T28" s="23"/>
      <c r="U28" s="11"/>
      <c r="V28" s="11"/>
      <c r="W28" s="11"/>
      <c r="X28" s="1"/>
      <c r="Y28" s="1"/>
      <c r="Z28" s="1"/>
    </row>
    <row r="29" spans="1:26">
      <c r="A29" s="26" t="s">
        <v>80</v>
      </c>
      <c r="B29" s="31"/>
      <c r="C29" s="31"/>
      <c r="D29" s="31"/>
      <c r="E29" s="31"/>
      <c r="F29" s="31"/>
      <c r="G29" s="31"/>
      <c r="H29" s="12">
        <f>+((H27/E27)^(1/3)-1)</f>
        <v>1.8505335959970282E-2</v>
      </c>
      <c r="I29" s="12">
        <f>+((I27/F27)^(1/3)-1)</f>
        <v>-1.5163205956644659</v>
      </c>
      <c r="J29" s="12">
        <f>+((J27/F27)^(1/3)-1)</f>
        <v>-0.44399770207127331</v>
      </c>
      <c r="K29" s="12">
        <f t="shared" ref="K29" si="22">+((K27/G27)^(1/3)-1)</f>
        <v>-0.64985562375348216</v>
      </c>
      <c r="L29" s="12">
        <f>+((L27/G27)^(1/3)-1)</f>
        <v>-0.30498592347222586</v>
      </c>
      <c r="M29" s="6"/>
      <c r="O29" s="6" t="s">
        <v>98</v>
      </c>
      <c r="P29" s="11">
        <v>0</v>
      </c>
      <c r="Q29" s="11"/>
      <c r="R29" s="11">
        <v>0</v>
      </c>
      <c r="S29" s="11">
        <v>0</v>
      </c>
      <c r="T29" s="23">
        <v>0</v>
      </c>
      <c r="U29" s="11">
        <v>0</v>
      </c>
      <c r="V29" s="11">
        <v>0</v>
      </c>
      <c r="W29" s="11"/>
      <c r="X29" s="1">
        <v>0</v>
      </c>
      <c r="Y29" s="1">
        <v>0</v>
      </c>
      <c r="Z29" s="1">
        <v>0</v>
      </c>
    </row>
    <row r="30" spans="1:26">
      <c r="A30" s="6" t="s">
        <v>10</v>
      </c>
      <c r="B30" s="1"/>
      <c r="C30" s="1"/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/>
      <c r="M30" s="6"/>
      <c r="O30" s="6" t="s">
        <v>99</v>
      </c>
      <c r="P30" s="11">
        <v>3314.029</v>
      </c>
      <c r="Q30" s="11">
        <v>4682.3500000000004</v>
      </c>
      <c r="R30" s="11">
        <v>2534.5410000000002</v>
      </c>
      <c r="S30" s="11">
        <v>1474.7760000000001</v>
      </c>
      <c r="T30" s="23">
        <v>2153.8620000000001</v>
      </c>
      <c r="U30" s="11">
        <v>2535.8029999999999</v>
      </c>
      <c r="V30" s="11">
        <v>3203.7310000000002</v>
      </c>
      <c r="W30" s="11">
        <v>2971.8319999999999</v>
      </c>
      <c r="X30" s="1">
        <v>3292.8609999999999</v>
      </c>
      <c r="Y30" s="1">
        <v>2887.19</v>
      </c>
      <c r="Z30" s="1">
        <f>20585.251/10</f>
        <v>2058.5250999999998</v>
      </c>
    </row>
    <row r="31" spans="1:26">
      <c r="A31" s="6" t="s">
        <v>101</v>
      </c>
      <c r="B31" s="1">
        <v>825.95399999999995</v>
      </c>
      <c r="C31" s="1">
        <v>1976.42</v>
      </c>
      <c r="D31" s="1">
        <v>1700.3920000000001</v>
      </c>
      <c r="E31" s="1">
        <v>1561.136</v>
      </c>
      <c r="F31" s="1">
        <v>2313.4699999999998</v>
      </c>
      <c r="G31" s="1">
        <v>64.912999999999997</v>
      </c>
      <c r="H31" s="1">
        <v>2598.0729999999999</v>
      </c>
      <c r="I31" s="1">
        <v>1536.7739999999999</v>
      </c>
      <c r="J31" s="1">
        <v>2307.0219999999999</v>
      </c>
      <c r="K31" s="1">
        <v>837.95600000000002</v>
      </c>
      <c r="L31" s="1">
        <v>3358.5</v>
      </c>
      <c r="M31" s="129">
        <f>21161.03/10</f>
        <v>2116.1030000000001</v>
      </c>
      <c r="O31" s="6" t="s">
        <v>100</v>
      </c>
      <c r="P31" s="11">
        <v>100.908</v>
      </c>
      <c r="Q31" s="11">
        <v>44.158999999999999</v>
      </c>
      <c r="R31" s="11">
        <v>200.488</v>
      </c>
      <c r="S31" s="11">
        <v>121.81399999999999</v>
      </c>
      <c r="T31" s="23">
        <v>124.983</v>
      </c>
      <c r="U31" s="11">
        <v>190.02099999999999</v>
      </c>
      <c r="V31" s="11">
        <v>123.881</v>
      </c>
      <c r="W31" s="11">
        <v>108.486</v>
      </c>
      <c r="X31" s="1">
        <v>74.340999999999994</v>
      </c>
      <c r="Y31" s="1">
        <v>132.38</v>
      </c>
      <c r="Z31" s="1">
        <f>2747.81/10</f>
        <v>274.78100000000001</v>
      </c>
    </row>
    <row r="32" spans="1:26">
      <c r="A32" s="6" t="s">
        <v>57</v>
      </c>
      <c r="B32" s="1"/>
      <c r="C32" s="1"/>
      <c r="D32" s="1">
        <v>0</v>
      </c>
      <c r="E32" s="1">
        <v>-0.19</v>
      </c>
      <c r="F32" s="1"/>
      <c r="G32" s="1">
        <v>-2</v>
      </c>
      <c r="H32" s="1">
        <v>-5</v>
      </c>
      <c r="I32" s="1">
        <v>0</v>
      </c>
      <c r="J32" s="1">
        <v>-0.94899999999999995</v>
      </c>
      <c r="K32" s="1">
        <v>0</v>
      </c>
      <c r="L32" s="1">
        <v>-3.33</v>
      </c>
      <c r="M32" s="6">
        <f>50.33/10</f>
        <v>5.0329999999999995</v>
      </c>
      <c r="O32" s="6" t="s">
        <v>102</v>
      </c>
      <c r="P32" s="11">
        <v>0</v>
      </c>
      <c r="Q32" s="11">
        <v>0</v>
      </c>
      <c r="R32" s="11">
        <v>0</v>
      </c>
      <c r="S32" s="11">
        <v>33.752000000000002</v>
      </c>
      <c r="T32" s="23">
        <v>32.369999999999997</v>
      </c>
      <c r="U32" s="11">
        <v>35.718000000000004</v>
      </c>
      <c r="V32" s="11">
        <v>28.638000000000002</v>
      </c>
      <c r="W32" s="11">
        <v>59.786000000000001</v>
      </c>
      <c r="X32" s="1">
        <v>30.33</v>
      </c>
      <c r="Y32" s="1">
        <v>53.78</v>
      </c>
      <c r="Z32" s="1">
        <f>7104.78/10</f>
        <v>710.47799999999995</v>
      </c>
    </row>
    <row r="33" spans="1:26">
      <c r="A33" s="25" t="s">
        <v>104</v>
      </c>
      <c r="B33" s="32">
        <f t="shared" ref="B33:K33" si="23">(B27-B30+B32+B31)</f>
        <v>99.127999999999815</v>
      </c>
      <c r="C33" s="32">
        <f t="shared" si="23"/>
        <v>1815.2459999999999</v>
      </c>
      <c r="D33" s="32">
        <f t="shared" si="23"/>
        <v>1957.1339999999991</v>
      </c>
      <c r="E33" s="32">
        <f t="shared" si="23"/>
        <v>2655.9830000000011</v>
      </c>
      <c r="F33" s="32">
        <f t="shared" si="23"/>
        <v>3580.2130000000016</v>
      </c>
      <c r="G33" s="32">
        <f t="shared" si="23"/>
        <v>1639.1540000000005</v>
      </c>
      <c r="H33" s="32">
        <f t="shared" si="23"/>
        <v>3750.034000000001</v>
      </c>
      <c r="I33" s="32">
        <f t="shared" si="23"/>
        <v>1362.4140000000002</v>
      </c>
      <c r="J33" s="32">
        <f t="shared" si="23"/>
        <v>2523.8030000000012</v>
      </c>
      <c r="K33" s="32">
        <f t="shared" si="23"/>
        <v>905.6209999999993</v>
      </c>
      <c r="L33" s="32">
        <f>(L27-L30+L32+L31)</f>
        <v>3884.3499999999995</v>
      </c>
      <c r="M33" s="32">
        <f>(M27-M30+M32+M31)</f>
        <v>1071.4109999999996</v>
      </c>
      <c r="O33" s="6" t="s">
        <v>103</v>
      </c>
      <c r="P33" s="11">
        <v>757.37400000000002</v>
      </c>
      <c r="Q33" s="11">
        <v>1045.056</v>
      </c>
      <c r="R33" s="11">
        <v>573.38400000000001</v>
      </c>
      <c r="S33" s="11">
        <v>45</v>
      </c>
      <c r="T33" s="23">
        <v>115.164</v>
      </c>
      <c r="U33" s="11">
        <v>179.60499999999999</v>
      </c>
      <c r="V33" s="11">
        <v>144.06299999999999</v>
      </c>
      <c r="W33" s="11">
        <v>83.287999999999997</v>
      </c>
      <c r="X33" s="1">
        <v>92.113</v>
      </c>
      <c r="Y33" s="1">
        <v>29.83</v>
      </c>
      <c r="Z33" s="1">
        <f>210.82/10</f>
        <v>21.082000000000001</v>
      </c>
    </row>
    <row r="34" spans="1:26">
      <c r="A34" s="26" t="s">
        <v>1</v>
      </c>
      <c r="B34" s="12"/>
      <c r="C34" s="12">
        <f t="shared" ref="C34:H34" si="24">(C33/B33-1)</f>
        <v>17.312141877168944</v>
      </c>
      <c r="D34" s="12">
        <f t="shared" si="24"/>
        <v>7.8164612399641342E-2</v>
      </c>
      <c r="E34" s="12">
        <f t="shared" si="24"/>
        <v>0.35707774735914977</v>
      </c>
      <c r="F34" s="12">
        <f t="shared" si="24"/>
        <v>0.34798038993472469</v>
      </c>
      <c r="G34" s="12">
        <f t="shared" si="24"/>
        <v>-0.54216299421291425</v>
      </c>
      <c r="H34" s="12">
        <f t="shared" si="24"/>
        <v>1.2877862604733905</v>
      </c>
      <c r="I34" s="12">
        <f>(I33/H33-1)</f>
        <v>-0.63669289398442785</v>
      </c>
      <c r="J34" s="12">
        <f>(J33/H33-1)</f>
        <v>-0.32699196860615121</v>
      </c>
      <c r="K34" s="12">
        <f t="shared" ref="K34" si="25">(K33/I33-1)</f>
        <v>-0.33528208019001626</v>
      </c>
      <c r="L34" s="12">
        <f>(L33/J33-1)</f>
        <v>0.53908605386394948</v>
      </c>
      <c r="M34" s="6"/>
      <c r="N34" s="19"/>
      <c r="O34" s="6" t="s">
        <v>105</v>
      </c>
      <c r="P34" s="11">
        <v>12.871</v>
      </c>
      <c r="Q34" s="11">
        <v>0</v>
      </c>
      <c r="R34" s="11">
        <v>0</v>
      </c>
      <c r="S34" s="11">
        <v>176.99100000000001</v>
      </c>
      <c r="T34" s="23">
        <v>38.762999999999998</v>
      </c>
      <c r="U34" s="11">
        <v>49.872999999999998</v>
      </c>
      <c r="V34" s="11">
        <v>31.358000000000001</v>
      </c>
      <c r="W34" s="11">
        <v>25.905000000000001</v>
      </c>
      <c r="X34" s="1">
        <v>43.817999999999998</v>
      </c>
      <c r="Y34" s="125">
        <v>21.33</v>
      </c>
      <c r="Z34" s="125">
        <f>196.5/10</f>
        <v>19.649999999999999</v>
      </c>
    </row>
    <row r="35" spans="1:26">
      <c r="A35" s="26" t="s">
        <v>107</v>
      </c>
      <c r="B35" s="12"/>
      <c r="C35" s="12"/>
      <c r="D35" s="12"/>
      <c r="E35" s="12"/>
      <c r="F35" s="12">
        <f>+((F33/C33)^(1/3)-1)</f>
        <v>0.25407773933032551</v>
      </c>
      <c r="G35" s="12">
        <f>+((G33/D33)^(1/3)-1)</f>
        <v>-5.7387780577308645E-2</v>
      </c>
      <c r="H35" s="12">
        <f>+((H33/E33)^(1/3)-1)</f>
        <v>0.1218547681140707</v>
      </c>
      <c r="I35" s="12">
        <f>+((I33/F33)^(1/3)-1)</f>
        <v>-0.27534146637750834</v>
      </c>
      <c r="J35" s="12">
        <f>+((J33/F33)^(1/3)-1)</f>
        <v>-0.11001600685074353</v>
      </c>
      <c r="K35" s="12">
        <f t="shared" ref="K35" si="26">+((K33/G33)^(1/3)-1)</f>
        <v>-0.17944270863304423</v>
      </c>
      <c r="L35" s="12">
        <f>+((L33/G33)^(1/3)-1)</f>
        <v>0.33321297753006474</v>
      </c>
      <c r="M35" s="6"/>
      <c r="N35" s="19"/>
      <c r="O35" s="6" t="s">
        <v>106</v>
      </c>
      <c r="P35" s="11"/>
      <c r="Q35" s="11">
        <v>0</v>
      </c>
      <c r="R35" s="11">
        <v>0</v>
      </c>
      <c r="S35" s="11">
        <v>95.442999999999998</v>
      </c>
      <c r="T35" s="23">
        <v>41.332000000000001</v>
      </c>
      <c r="U35" s="11">
        <v>11.147</v>
      </c>
      <c r="V35" s="11">
        <v>0</v>
      </c>
      <c r="W35" s="11"/>
      <c r="X35" s="1">
        <v>4.8810000000000002</v>
      </c>
      <c r="Y35" s="1">
        <v>15.39</v>
      </c>
      <c r="Z35" s="1">
        <f>398.37/10</f>
        <v>39.837000000000003</v>
      </c>
    </row>
    <row r="36" spans="1:26">
      <c r="A36" s="20" t="s">
        <v>11</v>
      </c>
      <c r="B36" s="13">
        <v>5.22</v>
      </c>
      <c r="C36" s="13">
        <v>78.16</v>
      </c>
      <c r="D36" s="13">
        <v>61.88</v>
      </c>
      <c r="E36" s="13">
        <v>72.84</v>
      </c>
      <c r="F36" s="13">
        <v>77.930000000000007</v>
      </c>
      <c r="G36" s="13">
        <v>31.62</v>
      </c>
      <c r="H36" s="13">
        <v>72.34</v>
      </c>
      <c r="I36" s="13">
        <v>26.28</v>
      </c>
      <c r="J36" s="13">
        <v>48.69</v>
      </c>
      <c r="K36" s="13">
        <v>17.47</v>
      </c>
      <c r="L36" s="13">
        <v>74.94</v>
      </c>
      <c r="M36" s="6">
        <v>20.67</v>
      </c>
      <c r="N36" s="19"/>
      <c r="O36" s="6" t="s">
        <v>55</v>
      </c>
      <c r="P36" s="11"/>
      <c r="Q36" s="11">
        <v>12.648999999999999</v>
      </c>
      <c r="R36" s="11">
        <v>13.144</v>
      </c>
      <c r="S36" s="11">
        <v>342.05599999999998</v>
      </c>
      <c r="T36" s="23">
        <v>261.26799999999997</v>
      </c>
      <c r="U36" s="11">
        <v>222.62100000000001</v>
      </c>
      <c r="V36" s="11">
        <v>160.023</v>
      </c>
      <c r="W36" s="11">
        <v>155.041</v>
      </c>
      <c r="X36" s="1">
        <v>192</v>
      </c>
      <c r="Y36" s="1">
        <v>202.57</v>
      </c>
      <c r="Z36" s="1">
        <f>2574.56/10</f>
        <v>257.45600000000002</v>
      </c>
    </row>
    <row r="37" spans="1:26">
      <c r="A37" s="33" t="s">
        <v>1</v>
      </c>
      <c r="B37" s="34"/>
      <c r="C37" s="34">
        <f t="shared" ref="C37:H37" si="27">(C36/B36-1)</f>
        <v>13.973180076628353</v>
      </c>
      <c r="D37" s="34">
        <f t="shared" si="27"/>
        <v>-0.20829068577277376</v>
      </c>
      <c r="E37" s="34">
        <f t="shared" si="27"/>
        <v>0.17711700064641245</v>
      </c>
      <c r="F37" s="34">
        <f t="shared" si="27"/>
        <v>6.9879187259747511E-2</v>
      </c>
      <c r="G37" s="34">
        <f t="shared" si="27"/>
        <v>-0.59425125112280253</v>
      </c>
      <c r="H37" s="34">
        <f t="shared" si="27"/>
        <v>1.2877925363693863</v>
      </c>
      <c r="I37" s="34">
        <f>(I36/H36-1)</f>
        <v>-0.63671551009123584</v>
      </c>
      <c r="J37" s="34">
        <f>(J36/H36-1)</f>
        <v>-0.32692839369643356</v>
      </c>
      <c r="K37" s="34">
        <f t="shared" ref="K37" si="28">(K36/I36-1)</f>
        <v>-0.33523592085235931</v>
      </c>
      <c r="L37" s="34">
        <f>(L36/J36-1)</f>
        <v>0.53912507701786816</v>
      </c>
      <c r="M37" s="6"/>
      <c r="N37" s="19"/>
      <c r="O37" s="25" t="s">
        <v>34</v>
      </c>
      <c r="P37" s="10">
        <f t="shared" ref="P37:U37" si="29">SUM(P38:P43)</f>
        <v>3442.1549999999993</v>
      </c>
      <c r="Q37" s="10">
        <f t="shared" si="29"/>
        <v>2906.3810000000003</v>
      </c>
      <c r="R37" s="10">
        <f t="shared" si="29"/>
        <v>3772.9679999999998</v>
      </c>
      <c r="S37" s="10">
        <f t="shared" si="29"/>
        <v>2145.6289999999999</v>
      </c>
      <c r="T37" s="10">
        <f t="shared" si="29"/>
        <v>2123.9229999999998</v>
      </c>
      <c r="U37" s="10">
        <f t="shared" si="29"/>
        <v>3179.3740000000003</v>
      </c>
      <c r="V37" s="10">
        <f>SUM(V38:V43)</f>
        <v>3533.652</v>
      </c>
      <c r="W37" s="10">
        <f>SUM(W38:W43)</f>
        <v>3238.3429999999998</v>
      </c>
      <c r="X37" s="10">
        <f>SUM(X38:X43)</f>
        <v>3497.3849999999998</v>
      </c>
      <c r="Y37" s="10">
        <f>SUM(Y38:Y43)</f>
        <v>3973.1200000000003</v>
      </c>
      <c r="Z37" s="10">
        <f>SUM(Z38:Z43)</f>
        <v>4672.8739999999998</v>
      </c>
    </row>
    <row r="38" spans="1:26">
      <c r="A38" s="33" t="s">
        <v>107</v>
      </c>
      <c r="B38" s="35"/>
      <c r="C38" s="35"/>
      <c r="D38" s="35"/>
      <c r="E38" s="35"/>
      <c r="F38" s="12">
        <f>+((F36/C36)^(1/3)-1)</f>
        <v>-9.8185762174052282E-4</v>
      </c>
      <c r="G38" s="12">
        <f>+((G36/D36)^(1/3)-1)</f>
        <v>-0.20052690373479998</v>
      </c>
      <c r="H38" s="12">
        <f>+((H36/E36)^(1/3)-1)</f>
        <v>-2.2933756316049214E-3</v>
      </c>
      <c r="I38" s="12">
        <f>+((I36/F36)^(1/3)-1)</f>
        <v>-0.3039503359128084</v>
      </c>
      <c r="J38" s="12">
        <f>+((J36/F36)^(1/3)-1)</f>
        <v>-0.14510712123348524</v>
      </c>
      <c r="K38" s="12">
        <f t="shared" ref="K38" si="30">+((K36/G36)^(1/3)-1)</f>
        <v>-0.17943999252918852</v>
      </c>
      <c r="L38" s="12">
        <f>+((L36/G36)^(1/3)-1)</f>
        <v>0.33326744350760329</v>
      </c>
      <c r="M38" s="6"/>
      <c r="O38" s="6" t="s">
        <v>108</v>
      </c>
      <c r="P38" s="11"/>
      <c r="Q38" s="11"/>
      <c r="R38" s="11"/>
      <c r="S38" s="11"/>
      <c r="T38" s="23"/>
      <c r="U38" s="11"/>
      <c r="V38" s="11"/>
      <c r="W38" s="11"/>
      <c r="X38" s="6"/>
      <c r="Y38" s="6"/>
      <c r="Z38" s="6"/>
    </row>
    <row r="39" spans="1:26">
      <c r="O39" s="6" t="s">
        <v>109</v>
      </c>
      <c r="P39" s="11">
        <v>1119.2059999999999</v>
      </c>
      <c r="Q39" s="11">
        <v>1538.011</v>
      </c>
      <c r="R39" s="11">
        <v>1956.2670000000001</v>
      </c>
      <c r="S39" s="11">
        <v>1839.7</v>
      </c>
      <c r="T39" s="23">
        <v>1680.732</v>
      </c>
      <c r="U39" s="11">
        <v>1975.5</v>
      </c>
      <c r="V39" s="11">
        <f>2144.427+38.194</f>
        <v>2182.6210000000001</v>
      </c>
      <c r="W39" s="11">
        <f>2376.79+16.779</f>
        <v>2393.569</v>
      </c>
      <c r="X39" s="1">
        <v>2562.828</v>
      </c>
      <c r="Y39" s="1">
        <v>3248.38</v>
      </c>
      <c r="Z39" s="1">
        <f>39437.35/10</f>
        <v>3943.7349999999997</v>
      </c>
    </row>
    <row r="40" spans="1:26">
      <c r="O40" s="6" t="s">
        <v>110</v>
      </c>
      <c r="P40" s="11">
        <v>0</v>
      </c>
      <c r="Q40" s="11">
        <v>0</v>
      </c>
      <c r="R40" s="11">
        <v>0</v>
      </c>
      <c r="S40" s="11">
        <v>112.946</v>
      </c>
      <c r="T40" s="23">
        <v>243.07499999999999</v>
      </c>
      <c r="U40" s="11">
        <v>358.05099999999999</v>
      </c>
      <c r="V40" s="11">
        <v>783.43</v>
      </c>
      <c r="W40" s="11">
        <v>391.72300000000001</v>
      </c>
      <c r="X40" s="1">
        <v>431.76</v>
      </c>
      <c r="Y40" s="1">
        <v>262.86</v>
      </c>
      <c r="Z40" s="1">
        <f>2679.27/10</f>
        <v>267.92700000000002</v>
      </c>
    </row>
    <row r="41" spans="1:26">
      <c r="A41" s="19" t="s">
        <v>12</v>
      </c>
      <c r="O41" s="6" t="s">
        <v>64</v>
      </c>
      <c r="P41" s="11">
        <v>2302.5369999999998</v>
      </c>
      <c r="Q41" s="11">
        <v>1315.106</v>
      </c>
      <c r="R41" s="11">
        <v>1798.9469999999999</v>
      </c>
      <c r="S41" s="11">
        <v>141.25299999999999</v>
      </c>
      <c r="T41" s="23">
        <v>113.896</v>
      </c>
      <c r="U41" s="11">
        <v>528.22400000000005</v>
      </c>
      <c r="V41" s="11">
        <v>448.9</v>
      </c>
      <c r="W41" s="11">
        <v>345.59800000000001</v>
      </c>
      <c r="X41" s="1">
        <v>478.21199999999999</v>
      </c>
      <c r="Y41" s="1">
        <v>424.9</v>
      </c>
      <c r="Z41" s="1">
        <f>4386.23/10</f>
        <v>438.62299999999993</v>
      </c>
    </row>
    <row r="42" spans="1:26">
      <c r="A42" s="20" t="s">
        <v>0</v>
      </c>
      <c r="B42" s="17" t="s">
        <v>22</v>
      </c>
      <c r="C42" s="17" t="s">
        <v>23</v>
      </c>
      <c r="D42" s="17" t="s">
        <v>24</v>
      </c>
      <c r="E42" s="17" t="s">
        <v>25</v>
      </c>
      <c r="F42" s="17" t="s">
        <v>68</v>
      </c>
      <c r="G42" s="17" t="s">
        <v>75</v>
      </c>
      <c r="H42" s="17" t="s">
        <v>118</v>
      </c>
      <c r="I42" s="17" t="s">
        <v>181</v>
      </c>
      <c r="J42" s="17" t="s">
        <v>184</v>
      </c>
      <c r="K42" s="88"/>
      <c r="L42" s="17" t="s">
        <v>207</v>
      </c>
      <c r="M42" s="17" t="s">
        <v>257</v>
      </c>
      <c r="O42" s="6" t="s">
        <v>111</v>
      </c>
      <c r="P42" s="11">
        <v>20.411999999999999</v>
      </c>
      <c r="Q42" s="11">
        <v>53.264000000000003</v>
      </c>
      <c r="R42" s="11">
        <v>17.754000000000001</v>
      </c>
      <c r="S42" s="11">
        <v>10.206</v>
      </c>
      <c r="T42" s="23">
        <v>14.316000000000001</v>
      </c>
      <c r="U42" s="11">
        <v>17.087</v>
      </c>
      <c r="V42" s="11">
        <v>18.969000000000001</v>
      </c>
      <c r="W42" s="11">
        <v>33.837000000000003</v>
      </c>
      <c r="X42" s="1">
        <v>22.574000000000002</v>
      </c>
      <c r="Y42" s="1">
        <v>26.29</v>
      </c>
      <c r="Z42" s="1">
        <f>217.61/10</f>
        <v>21.761000000000003</v>
      </c>
    </row>
    <row r="43" spans="1:26">
      <c r="A43" s="20" t="s">
        <v>13</v>
      </c>
      <c r="B43" s="9">
        <v>65.924000000000007</v>
      </c>
      <c r="C43" s="9">
        <v>100.91</v>
      </c>
      <c r="D43" s="9">
        <v>44.158999999999999</v>
      </c>
      <c r="E43" s="9">
        <v>191.95599999999999</v>
      </c>
      <c r="F43" s="9">
        <v>121.81399999999999</v>
      </c>
      <c r="G43" s="9">
        <f>F48</f>
        <v>124.98299999999992</v>
      </c>
      <c r="H43" s="9">
        <f>G48</f>
        <v>190.02099999999996</v>
      </c>
      <c r="I43" s="9">
        <v>55.517000000000003</v>
      </c>
      <c r="J43" s="9">
        <f>H48</f>
        <v>123.88100000000014</v>
      </c>
      <c r="K43" s="90"/>
      <c r="L43" s="9">
        <f>J48</f>
        <v>74.399000000000129</v>
      </c>
      <c r="M43" s="9">
        <f>L48</f>
        <v>132.44900000000007</v>
      </c>
      <c r="O43" s="6" t="s">
        <v>112</v>
      </c>
      <c r="P43" s="11">
        <v>0</v>
      </c>
      <c r="Q43" s="11">
        <v>0</v>
      </c>
      <c r="R43" s="11">
        <v>0</v>
      </c>
      <c r="S43" s="11">
        <v>41.524000000000001</v>
      </c>
      <c r="T43" s="23">
        <v>71.903999999999996</v>
      </c>
      <c r="U43" s="11">
        <v>300.512</v>
      </c>
      <c r="V43" s="11">
        <v>99.731999999999999</v>
      </c>
      <c r="W43" s="11">
        <v>73.616</v>
      </c>
      <c r="X43" s="1">
        <v>2.0110000000000001</v>
      </c>
      <c r="Y43" s="1">
        <v>10.69</v>
      </c>
      <c r="Z43" s="1">
        <f>8.28/10</f>
        <v>0.82799999999999996</v>
      </c>
    </row>
    <row r="44" spans="1:26">
      <c r="A44" s="20" t="s">
        <v>14</v>
      </c>
      <c r="B44" s="21">
        <v>1688.242</v>
      </c>
      <c r="C44" s="9">
        <v>-834.02300000000002</v>
      </c>
      <c r="D44" s="21">
        <v>2264.6080000000002</v>
      </c>
      <c r="E44" s="9">
        <v>2172.3159999999998</v>
      </c>
      <c r="F44" s="9">
        <v>642.63099999999997</v>
      </c>
      <c r="G44" s="9">
        <v>1414.4110000000001</v>
      </c>
      <c r="H44" s="9">
        <v>1242.4960000000001</v>
      </c>
      <c r="I44" s="9">
        <v>205.28399999999999</v>
      </c>
      <c r="J44" s="9">
        <v>722.12</v>
      </c>
      <c r="K44" s="90"/>
      <c r="L44" s="9">
        <v>921.96</v>
      </c>
      <c r="M44" s="9">
        <f>8917.65/10</f>
        <v>891.76499999999999</v>
      </c>
      <c r="O44" s="25" t="s">
        <v>35</v>
      </c>
      <c r="P44" s="10">
        <f t="shared" ref="P44:Y44" si="31">(P26-P37-P9)</f>
        <v>486.37600000000089</v>
      </c>
      <c r="Q44" s="10">
        <f t="shared" si="31"/>
        <v>3369.4329999999995</v>
      </c>
      <c r="R44" s="10">
        <f t="shared" si="31"/>
        <v>260.33600000000087</v>
      </c>
      <c r="S44" s="10">
        <f t="shared" si="31"/>
        <v>734.00800000000015</v>
      </c>
      <c r="T44" s="10">
        <f t="shared" si="31"/>
        <v>1802.8260000000002</v>
      </c>
      <c r="U44" s="10">
        <f t="shared" si="31"/>
        <v>1725.2059999999981</v>
      </c>
      <c r="V44" s="10">
        <f t="shared" si="31"/>
        <v>1579.2860000000007</v>
      </c>
      <c r="W44" s="10">
        <f t="shared" si="31"/>
        <v>1631.4929999999995</v>
      </c>
      <c r="X44" s="10">
        <f t="shared" si="31"/>
        <v>1389.8930000000014</v>
      </c>
      <c r="Y44" s="10">
        <f t="shared" si="31"/>
        <v>1128.8399999999997</v>
      </c>
      <c r="Z44" s="10">
        <f t="shared" ref="Z44" si="32">(Z26-Z37-Z9)</f>
        <v>616.48510000000067</v>
      </c>
    </row>
    <row r="45" spans="1:26">
      <c r="A45" s="6" t="s">
        <v>65</v>
      </c>
      <c r="B45" s="11">
        <v>-1200.932</v>
      </c>
      <c r="C45" s="11">
        <v>-2467.8850000000002</v>
      </c>
      <c r="D45" s="11">
        <v>-2114.962</v>
      </c>
      <c r="E45" s="11">
        <v>-1050.953</v>
      </c>
      <c r="F45" s="11">
        <v>-656.45500000000004</v>
      </c>
      <c r="G45" s="11">
        <v>-1191.191</v>
      </c>
      <c r="H45" s="11">
        <v>-1042.1099999999999</v>
      </c>
      <c r="I45" s="11">
        <v>-199.05</v>
      </c>
      <c r="J45" s="11">
        <v>-701.58600000000001</v>
      </c>
      <c r="K45" s="89"/>
      <c r="L45" s="24">
        <v>-289.67</v>
      </c>
      <c r="M45" s="24">
        <f>-1794.66/10</f>
        <v>-179.46600000000001</v>
      </c>
      <c r="O45" s="6" t="s">
        <v>113</v>
      </c>
      <c r="P45" s="11">
        <v>0</v>
      </c>
      <c r="Q45" s="11">
        <v>2.879</v>
      </c>
      <c r="R45" s="11">
        <v>49.393999999999998</v>
      </c>
      <c r="S45" s="11">
        <v>94.978999999999999</v>
      </c>
      <c r="T45" s="23">
        <v>127.631</v>
      </c>
      <c r="U45" s="11">
        <v>133.68199999999999</v>
      </c>
      <c r="V45" s="11">
        <v>145.08000000000001</v>
      </c>
      <c r="W45" s="11">
        <v>135.35499999999999</v>
      </c>
      <c r="X45" s="1">
        <v>156.053</v>
      </c>
      <c r="Y45" s="1">
        <v>53.97</v>
      </c>
      <c r="Z45" s="1">
        <f>549.89/10</f>
        <v>54.988999999999997</v>
      </c>
    </row>
    <row r="46" spans="1:26">
      <c r="A46" s="6" t="s">
        <v>15</v>
      </c>
      <c r="B46" s="11">
        <v>-452.32600000000002</v>
      </c>
      <c r="C46" s="11">
        <v>3245.1570000000002</v>
      </c>
      <c r="D46" s="11">
        <v>6.6829999999999998</v>
      </c>
      <c r="E46" s="11">
        <v>-1191.5050000000001</v>
      </c>
      <c r="F46" s="11">
        <v>16.992999999999999</v>
      </c>
      <c r="G46" s="11">
        <v>-158.18199999999999</v>
      </c>
      <c r="H46" s="11">
        <v>-266.52600000000001</v>
      </c>
      <c r="I46" s="11">
        <v>-49.695999999999998</v>
      </c>
      <c r="J46" s="11">
        <v>-70.016000000000005</v>
      </c>
      <c r="K46" s="89"/>
      <c r="L46" s="24">
        <v>-574.24</v>
      </c>
      <c r="M46" s="24">
        <f>-5699.07/10</f>
        <v>-569.90699999999993</v>
      </c>
      <c r="O46" s="6" t="s">
        <v>114</v>
      </c>
      <c r="P46" s="11">
        <v>276.83100000000002</v>
      </c>
      <c r="Q46" s="11">
        <v>303.12</v>
      </c>
      <c r="R46" s="11">
        <v>283.81700000000001</v>
      </c>
      <c r="S46" s="11">
        <v>350.476</v>
      </c>
      <c r="T46" s="23">
        <v>344.40899999999999</v>
      </c>
      <c r="U46" s="11">
        <v>59.904000000000003</v>
      </c>
      <c r="V46" s="11">
        <v>48.462000000000003</v>
      </c>
      <c r="W46" s="11">
        <v>80.471000000000004</v>
      </c>
      <c r="X46" s="1">
        <v>0</v>
      </c>
      <c r="Y46" s="1">
        <v>0</v>
      </c>
      <c r="Z46" s="1">
        <v>0</v>
      </c>
    </row>
    <row r="47" spans="1:26">
      <c r="A47" s="20" t="s">
        <v>16</v>
      </c>
      <c r="B47" s="21">
        <f t="shared" ref="B47:G47" si="33">+B44+B45+B46</f>
        <v>34.983999999999924</v>
      </c>
      <c r="C47" s="21">
        <f t="shared" si="33"/>
        <v>-56.751000000000204</v>
      </c>
      <c r="D47" s="21">
        <f t="shared" si="33"/>
        <v>156.32900000000018</v>
      </c>
      <c r="E47" s="21">
        <f t="shared" si="33"/>
        <v>-70.14200000000028</v>
      </c>
      <c r="F47" s="21">
        <f t="shared" si="33"/>
        <v>3.1689999999999294</v>
      </c>
      <c r="G47" s="21">
        <f t="shared" si="33"/>
        <v>65.038000000000039</v>
      </c>
      <c r="H47" s="21">
        <f>+H44+H45+H46</f>
        <v>-66.139999999999816</v>
      </c>
      <c r="I47" s="21">
        <f>+I44+I45+I46</f>
        <v>-43.462000000000018</v>
      </c>
      <c r="J47" s="21">
        <f>+J44+J45+J46</f>
        <v>-49.482000000000014</v>
      </c>
      <c r="K47" s="90"/>
      <c r="L47" s="21">
        <f>+L44+L45+L46</f>
        <v>58.049999999999955</v>
      </c>
      <c r="M47" s="21">
        <f>+M44+M45+M46</f>
        <v>142.39200000000005</v>
      </c>
      <c r="O47" s="6" t="s">
        <v>115</v>
      </c>
      <c r="P47" s="11"/>
      <c r="Q47" s="11"/>
      <c r="R47" s="11"/>
      <c r="S47" s="11"/>
      <c r="T47" s="23"/>
      <c r="U47" s="11">
        <v>36.292999999999999</v>
      </c>
      <c r="V47" s="11">
        <v>1.2809999999999999</v>
      </c>
      <c r="W47" s="24">
        <v>0.98299999999999998</v>
      </c>
      <c r="X47" s="1">
        <v>5.23</v>
      </c>
      <c r="Y47" s="1">
        <v>16.98</v>
      </c>
      <c r="Z47" s="1">
        <f>271.47/10</f>
        <v>27.147000000000002</v>
      </c>
    </row>
    <row r="48" spans="1:26">
      <c r="A48" s="20" t="s">
        <v>58</v>
      </c>
      <c r="B48" s="10">
        <f t="shared" ref="B48:G48" si="34">+B43+B47</f>
        <v>100.90799999999993</v>
      </c>
      <c r="C48" s="10">
        <f t="shared" si="34"/>
        <v>44.158999999999793</v>
      </c>
      <c r="D48" s="10">
        <f t="shared" si="34"/>
        <v>200.48800000000017</v>
      </c>
      <c r="E48" s="10">
        <f t="shared" si="34"/>
        <v>121.81399999999971</v>
      </c>
      <c r="F48" s="18">
        <f t="shared" si="34"/>
        <v>124.98299999999992</v>
      </c>
      <c r="G48" s="10">
        <f t="shared" si="34"/>
        <v>190.02099999999996</v>
      </c>
      <c r="H48" s="10">
        <f>+H43+H47</f>
        <v>123.88100000000014</v>
      </c>
      <c r="I48" s="10">
        <f>+I43+I47</f>
        <v>12.054999999999986</v>
      </c>
      <c r="J48" s="10">
        <f>+J43+J47</f>
        <v>74.399000000000129</v>
      </c>
      <c r="K48" s="18">
        <f t="shared" ref="K48:L48" si="35">+K43+K47</f>
        <v>0</v>
      </c>
      <c r="L48" s="10">
        <f t="shared" si="35"/>
        <v>132.44900000000007</v>
      </c>
      <c r="M48" s="10">
        <f t="shared" ref="M48" si="36">+M43+M47</f>
        <v>274.84100000000012</v>
      </c>
      <c r="O48" s="6" t="s">
        <v>116</v>
      </c>
      <c r="P48" s="11">
        <v>0</v>
      </c>
      <c r="Q48" s="11"/>
      <c r="R48" s="11">
        <v>6.0960000000000001</v>
      </c>
      <c r="S48" s="11">
        <v>0</v>
      </c>
      <c r="T48" s="23">
        <v>6</v>
      </c>
      <c r="U48" s="11">
        <v>7.65</v>
      </c>
      <c r="V48" s="11">
        <v>9.5500000000000007</v>
      </c>
      <c r="W48" s="11">
        <v>10.664999999999999</v>
      </c>
      <c r="X48" s="1">
        <v>12.164999999999999</v>
      </c>
      <c r="Y48" s="1">
        <v>13.16</v>
      </c>
      <c r="Z48" s="1">
        <f>113.73/10</f>
        <v>11.373000000000001</v>
      </c>
    </row>
    <row r="49" spans="1:26">
      <c r="G49" s="37"/>
      <c r="H49" s="37"/>
      <c r="I49" s="37"/>
      <c r="J49" s="37"/>
      <c r="K49" s="37"/>
      <c r="L49" s="37"/>
      <c r="M49" s="37"/>
      <c r="O49" s="20"/>
      <c r="P49" s="9"/>
      <c r="Q49" s="9"/>
      <c r="R49" s="9"/>
      <c r="S49" s="9"/>
      <c r="T49" s="36"/>
      <c r="U49" s="9"/>
      <c r="V49" s="9"/>
      <c r="W49" s="11"/>
      <c r="X49" s="6"/>
      <c r="Y49" s="6"/>
    </row>
    <row r="50" spans="1:26">
      <c r="A50" s="38" t="s">
        <v>17</v>
      </c>
      <c r="B50" s="17" t="s">
        <v>22</v>
      </c>
      <c r="C50" s="17" t="s">
        <v>23</v>
      </c>
      <c r="D50" s="17" t="s">
        <v>24</v>
      </c>
      <c r="E50" s="17" t="s">
        <v>25</v>
      </c>
      <c r="F50" s="17" t="s">
        <v>68</v>
      </c>
      <c r="G50" s="17" t="s">
        <v>75</v>
      </c>
      <c r="H50" s="85" t="s">
        <v>118</v>
      </c>
      <c r="I50" s="83"/>
      <c r="J50" s="17" t="s">
        <v>184</v>
      </c>
      <c r="K50" s="88"/>
      <c r="L50" s="17" t="s">
        <v>207</v>
      </c>
      <c r="M50" s="17" t="s">
        <v>257</v>
      </c>
      <c r="O50" s="25" t="s">
        <v>70</v>
      </c>
      <c r="P50" s="10">
        <f t="shared" ref="P50:U50" si="37">SUM(P15:P24)+P26</f>
        <v>12124.262999999999</v>
      </c>
      <c r="Q50" s="10">
        <f t="shared" si="37"/>
        <v>15556.75</v>
      </c>
      <c r="R50" s="10">
        <f t="shared" si="37"/>
        <v>13391.939</v>
      </c>
      <c r="S50" s="10">
        <f t="shared" si="37"/>
        <v>14730.313</v>
      </c>
      <c r="T50" s="10">
        <f t="shared" si="37"/>
        <v>18244.137999999999</v>
      </c>
      <c r="U50" s="10">
        <f t="shared" si="37"/>
        <v>20583.474000000002</v>
      </c>
      <c r="V50" s="10">
        <f>SUM(V15:V25)+V26</f>
        <v>24037.666000000001</v>
      </c>
      <c r="W50" s="10">
        <f>SUM(W15:W25)+W26</f>
        <v>24496.489999999998</v>
      </c>
      <c r="X50" s="10">
        <f>SUM(X15:X25)+X26</f>
        <v>27000.317000000003</v>
      </c>
      <c r="Y50" s="10">
        <f>SUM(Y15:Y25)+Y26</f>
        <v>30742.230000000003</v>
      </c>
      <c r="Z50" s="10">
        <f>SUM(Z15:Z25)+Z26</f>
        <v>32010.841100000001</v>
      </c>
    </row>
    <row r="51" spans="1:26">
      <c r="A51" s="6" t="s">
        <v>18</v>
      </c>
      <c r="B51" s="39"/>
      <c r="C51" s="14"/>
      <c r="D51" s="14"/>
      <c r="E51" s="14">
        <f>E44</f>
        <v>2172.3159999999998</v>
      </c>
      <c r="F51" s="14">
        <f t="shared" ref="F51:M51" si="38">F44</f>
        <v>642.63099999999997</v>
      </c>
      <c r="G51" s="14">
        <f t="shared" si="38"/>
        <v>1414.4110000000001</v>
      </c>
      <c r="H51" s="14">
        <f t="shared" si="38"/>
        <v>1242.4960000000001</v>
      </c>
      <c r="I51" s="14">
        <f t="shared" si="38"/>
        <v>205.28399999999999</v>
      </c>
      <c r="J51" s="14">
        <f t="shared" si="38"/>
        <v>722.12</v>
      </c>
      <c r="K51" s="14">
        <f t="shared" si="38"/>
        <v>0</v>
      </c>
      <c r="L51" s="14">
        <f t="shared" si="38"/>
        <v>921.96</v>
      </c>
      <c r="M51" s="14">
        <f t="shared" si="38"/>
        <v>891.76499999999999</v>
      </c>
      <c r="O51" s="25" t="s">
        <v>71</v>
      </c>
      <c r="P51" s="10">
        <f>P48+P37+P10+P6+P45+P49+P46</f>
        <v>12124.262999999999</v>
      </c>
      <c r="Q51" s="10">
        <f>Q48+Q37+Q10+Q6+Q45+Q49+Q46</f>
        <v>15556.750000000002</v>
      </c>
      <c r="R51" s="10">
        <f>R48+R37+R10+R6+R45+R49+R46</f>
        <v>13391.939000000002</v>
      </c>
      <c r="S51" s="10">
        <f>S48+S37+S10+S6+S45+S49+S46</f>
        <v>14730.314</v>
      </c>
      <c r="T51" s="10">
        <f>T48+T37+T10+T6+T45+T49+T46</f>
        <v>18244.238000000001</v>
      </c>
      <c r="U51" s="10">
        <f t="shared" ref="U51:Y51" si="39">U48+U37+U10+U6+U45+U49+U46+U47</f>
        <v>20583.474000000002</v>
      </c>
      <c r="V51" s="10">
        <f t="shared" si="39"/>
        <v>24037.655999999999</v>
      </c>
      <c r="W51" s="10">
        <f t="shared" si="39"/>
        <v>24496.489999999998</v>
      </c>
      <c r="X51" s="10">
        <f t="shared" si="39"/>
        <v>27000.303000000004</v>
      </c>
      <c r="Y51" s="10">
        <f t="shared" si="39"/>
        <v>30742.250000000004</v>
      </c>
      <c r="Z51" s="10">
        <f>Z48+Z37+Z10+Z6+Z45+Z49+Z46+Z47+Z7</f>
        <v>32010.839000000004</v>
      </c>
    </row>
    <row r="52" spans="1:26">
      <c r="A52" s="6" t="s">
        <v>19</v>
      </c>
      <c r="B52" s="39"/>
      <c r="C52" s="14"/>
      <c r="D52" s="14"/>
      <c r="E52" s="134">
        <f>(S16-R20)+E20</f>
        <v>651.41899999999998</v>
      </c>
      <c r="F52" s="134">
        <f>(T16-S16)+F20</f>
        <v>301.62700000000001</v>
      </c>
      <c r="G52" s="134">
        <f>(U16-T16)+G20</f>
        <v>431.584</v>
      </c>
      <c r="H52" s="134">
        <f>(V16-U16)+H20</f>
        <v>852.00900000000001</v>
      </c>
      <c r="I52" s="134">
        <f t="shared" ref="I52:K52" si="40">(W16-V20)+I20</f>
        <v>1288.3319999999999</v>
      </c>
      <c r="J52" s="134">
        <f>(X16-V16)+J20</f>
        <v>260.11899999999997</v>
      </c>
      <c r="K52" s="134">
        <f t="shared" si="40"/>
        <v>755.41399999999999</v>
      </c>
      <c r="L52" s="134">
        <f>(Y16-X16)+L20</f>
        <v>546.74099999999999</v>
      </c>
      <c r="M52" s="134">
        <f>(Z16-Y16)+M20</f>
        <v>584.58899999999994</v>
      </c>
      <c r="O52" s="19" t="s">
        <v>36</v>
      </c>
      <c r="W52" s="48"/>
    </row>
    <row r="53" spans="1:26" ht="15">
      <c r="A53" s="25" t="s">
        <v>20</v>
      </c>
      <c r="B53" s="39"/>
      <c r="C53" s="14"/>
      <c r="D53" s="14"/>
      <c r="E53" s="133">
        <f t="shared" ref="E53:M53" si="41">E51-E52</f>
        <v>1520.8969999999999</v>
      </c>
      <c r="F53" s="133">
        <f t="shared" si="41"/>
        <v>341.00399999999996</v>
      </c>
      <c r="G53" s="133">
        <f t="shared" si="41"/>
        <v>982.827</v>
      </c>
      <c r="H53" s="133">
        <f t="shared" si="41"/>
        <v>390.48700000000008</v>
      </c>
      <c r="I53" s="133">
        <f t="shared" si="41"/>
        <v>-1083.0479999999998</v>
      </c>
      <c r="J53" s="133">
        <f t="shared" si="41"/>
        <v>462.00100000000003</v>
      </c>
      <c r="K53" s="133">
        <f t="shared" si="41"/>
        <v>-755.41399999999999</v>
      </c>
      <c r="L53" s="133">
        <f t="shared" si="41"/>
        <v>375.21900000000005</v>
      </c>
      <c r="M53" s="133">
        <f t="shared" si="41"/>
        <v>307.17600000000004</v>
      </c>
      <c r="O53" s="20" t="s">
        <v>37</v>
      </c>
      <c r="P53" s="4" t="s">
        <v>22</v>
      </c>
      <c r="Q53" s="4" t="s">
        <v>23</v>
      </c>
      <c r="R53" s="4" t="s">
        <v>24</v>
      </c>
      <c r="S53" s="4" t="s">
        <v>25</v>
      </c>
      <c r="T53" s="4" t="s">
        <v>68</v>
      </c>
      <c r="U53" s="4" t="s">
        <v>75</v>
      </c>
      <c r="V53" s="4" t="s">
        <v>118</v>
      </c>
      <c r="W53" s="126"/>
      <c r="X53" s="4" t="s">
        <v>184</v>
      </c>
      <c r="Y53" s="4" t="s">
        <v>207</v>
      </c>
      <c r="Z53" s="4" t="s">
        <v>257</v>
      </c>
    </row>
    <row r="54" spans="1:26">
      <c r="A54" s="6"/>
      <c r="B54" s="39"/>
      <c r="C54" s="14"/>
      <c r="D54" s="14"/>
      <c r="E54" s="14"/>
      <c r="F54" s="14"/>
      <c r="G54" s="14"/>
      <c r="H54" s="86"/>
      <c r="I54" s="84"/>
      <c r="J54" s="14"/>
      <c r="K54" s="89"/>
      <c r="L54" s="14"/>
      <c r="M54" s="14"/>
      <c r="O54" s="40" t="s">
        <v>38</v>
      </c>
      <c r="P54" s="41">
        <v>84.05</v>
      </c>
      <c r="Q54" s="41">
        <v>137.94999999999999</v>
      </c>
      <c r="R54" s="41">
        <v>110.8</v>
      </c>
      <c r="S54" s="41">
        <v>281.95</v>
      </c>
      <c r="T54" s="41">
        <v>418.2</v>
      </c>
      <c r="U54" s="41">
        <v>495.45</v>
      </c>
      <c r="V54" s="41">
        <v>272.85000000000002</v>
      </c>
      <c r="W54" s="2">
        <v>506.95</v>
      </c>
      <c r="X54" s="6">
        <v>417.8</v>
      </c>
      <c r="Y54" s="6">
        <v>489.65</v>
      </c>
      <c r="Z54" s="6">
        <v>283.7</v>
      </c>
    </row>
    <row r="55" spans="1:26">
      <c r="A55" s="6"/>
      <c r="B55" s="130"/>
      <c r="C55" s="24"/>
      <c r="D55" s="24"/>
      <c r="E55" s="24"/>
      <c r="F55" s="24"/>
      <c r="G55" s="24"/>
      <c r="H55" s="131"/>
      <c r="I55" s="89"/>
      <c r="J55" s="24"/>
      <c r="K55" s="89"/>
      <c r="L55" s="24"/>
      <c r="M55" s="24"/>
      <c r="O55" s="32" t="s">
        <v>39</v>
      </c>
      <c r="P55" s="42">
        <f t="shared" ref="P55:X55" si="42">B36</f>
        <v>5.22</v>
      </c>
      <c r="Q55" s="42">
        <f t="shared" si="42"/>
        <v>78.16</v>
      </c>
      <c r="R55" s="42">
        <f t="shared" si="42"/>
        <v>61.88</v>
      </c>
      <c r="S55" s="42">
        <f t="shared" si="42"/>
        <v>72.84</v>
      </c>
      <c r="T55" s="42">
        <f t="shared" si="42"/>
        <v>77.930000000000007</v>
      </c>
      <c r="U55" s="42">
        <f t="shared" si="42"/>
        <v>31.62</v>
      </c>
      <c r="V55" s="42">
        <f t="shared" si="42"/>
        <v>72.34</v>
      </c>
      <c r="W55" s="91">
        <f t="shared" si="42"/>
        <v>26.28</v>
      </c>
      <c r="X55" s="42">
        <f t="shared" si="42"/>
        <v>48.69</v>
      </c>
      <c r="Y55" s="42">
        <f>L36</f>
        <v>74.94</v>
      </c>
      <c r="Z55" s="42">
        <f>M36</f>
        <v>20.67</v>
      </c>
    </row>
    <row r="56" spans="1:26">
      <c r="A56" s="20"/>
      <c r="B56" s="132"/>
      <c r="C56" s="9"/>
      <c r="D56" s="9"/>
      <c r="E56" s="9"/>
      <c r="F56" s="9"/>
      <c r="G56" s="9"/>
      <c r="H56" s="36"/>
      <c r="I56" s="90"/>
      <c r="J56" s="36"/>
      <c r="K56" s="90"/>
      <c r="L56" s="9"/>
      <c r="M56" s="9"/>
      <c r="O56" s="43" t="s">
        <v>40</v>
      </c>
      <c r="P56" s="44">
        <v>0</v>
      </c>
      <c r="Q56" s="44">
        <v>0</v>
      </c>
      <c r="R56" s="44">
        <f t="shared" ref="R56:X56" si="43">(R6*1000000)/D61</f>
        <v>242.75457231540656</v>
      </c>
      <c r="S56" s="44">
        <f t="shared" si="43"/>
        <v>370.81023451018143</v>
      </c>
      <c r="T56" s="44">
        <f t="shared" si="43"/>
        <v>464.45750424605569</v>
      </c>
      <c r="U56" s="44">
        <f t="shared" si="43"/>
        <v>500.04206553283598</v>
      </c>
      <c r="V56" s="44">
        <f t="shared" si="43"/>
        <v>616.84329458018863</v>
      </c>
      <c r="W56" s="92">
        <f t="shared" si="43"/>
        <v>624.25110350638306</v>
      </c>
      <c r="X56" s="44">
        <f t="shared" si="43"/>
        <v>696.92681691596579</v>
      </c>
      <c r="Y56" s="44">
        <f>(Y6*1000000)/L61</f>
        <v>496.3208565092271</v>
      </c>
      <c r="Z56" s="44">
        <f>(Z6*1000000)/M61</f>
        <v>516.89531842203598</v>
      </c>
    </row>
    <row r="57" spans="1:26">
      <c r="A57" s="6"/>
      <c r="B57" s="130"/>
      <c r="C57" s="24"/>
      <c r="D57" s="24"/>
      <c r="E57" s="24"/>
      <c r="F57" s="24"/>
      <c r="G57" s="24"/>
      <c r="H57" s="131"/>
      <c r="I57" s="89"/>
      <c r="J57" s="24"/>
      <c r="K57" s="89"/>
      <c r="L57" s="24"/>
      <c r="M57" s="24"/>
      <c r="O57" s="1" t="s">
        <v>41</v>
      </c>
      <c r="P57" s="8"/>
      <c r="Q57" s="8"/>
      <c r="R57" s="8">
        <v>0</v>
      </c>
      <c r="S57" s="8">
        <v>0</v>
      </c>
      <c r="T57" s="8">
        <v>0</v>
      </c>
      <c r="U57" s="8">
        <v>2</v>
      </c>
      <c r="V57" s="8">
        <v>2</v>
      </c>
      <c r="X57" s="6"/>
      <c r="Y57" s="6"/>
      <c r="Z57" s="6"/>
    </row>
    <row r="58" spans="1:26">
      <c r="A58" s="20"/>
      <c r="B58" s="132"/>
      <c r="C58" s="9"/>
      <c r="D58" s="9"/>
      <c r="E58" s="9"/>
      <c r="F58" s="9"/>
      <c r="G58" s="9"/>
      <c r="H58" s="36"/>
      <c r="I58" s="36"/>
      <c r="J58" s="36"/>
      <c r="K58" s="90"/>
      <c r="L58" s="9"/>
      <c r="M58" s="9"/>
      <c r="O58" s="1" t="s">
        <v>42</v>
      </c>
      <c r="P58" s="44">
        <f t="shared" ref="P58:U58" si="44">(P54/P55)</f>
        <v>16.101532567049809</v>
      </c>
      <c r="Q58" s="44">
        <f t="shared" si="44"/>
        <v>1.764969293756397</v>
      </c>
      <c r="R58" s="44">
        <f t="shared" si="44"/>
        <v>1.7905623787976728</v>
      </c>
      <c r="S58" s="44">
        <f t="shared" si="44"/>
        <v>3.870812740252608</v>
      </c>
      <c r="T58" s="44">
        <f t="shared" si="44"/>
        <v>5.3663544206339013</v>
      </c>
      <c r="U58" s="44">
        <f t="shared" si="44"/>
        <v>15.668880455407969</v>
      </c>
      <c r="V58" s="44">
        <f>(V54/V55)</f>
        <v>3.771772186895217</v>
      </c>
      <c r="W58" s="92">
        <f>(W54/W55)</f>
        <v>19.290334855403348</v>
      </c>
      <c r="X58" s="44">
        <f>(X54/X55)</f>
        <v>8.5808174163072497</v>
      </c>
      <c r="Y58" s="44">
        <f>(Y54/Y55)</f>
        <v>6.5338937816920204</v>
      </c>
      <c r="Z58" s="44">
        <f>(Z54/Z55)</f>
        <v>13.725205611998064</v>
      </c>
    </row>
    <row r="59" spans="1:26">
      <c r="A59" s="2" t="s">
        <v>21</v>
      </c>
      <c r="G59" s="48"/>
      <c r="H59" s="48"/>
      <c r="I59" s="48"/>
      <c r="J59" s="48"/>
      <c r="K59" s="48"/>
      <c r="L59" s="48"/>
      <c r="M59" s="48"/>
      <c r="O59" s="1" t="s">
        <v>43</v>
      </c>
      <c r="P59" s="44">
        <v>0</v>
      </c>
      <c r="Q59" s="44">
        <v>0</v>
      </c>
      <c r="R59" s="44">
        <f t="shared" ref="R59:Y59" si="45">(R54/R56)</f>
        <v>0.45642806618711013</v>
      </c>
      <c r="S59" s="44">
        <f t="shared" si="45"/>
        <v>0.76036196889883423</v>
      </c>
      <c r="T59" s="44">
        <f t="shared" si="45"/>
        <v>0.90040530334170277</v>
      </c>
      <c r="U59" s="44">
        <f t="shared" si="45"/>
        <v>0.99081664154006166</v>
      </c>
      <c r="V59" s="44">
        <f t="shared" si="45"/>
        <v>0.44233276489727646</v>
      </c>
      <c r="W59" s="92">
        <f t="shared" si="45"/>
        <v>0.81209307785359219</v>
      </c>
      <c r="X59" s="44">
        <f t="shared" si="45"/>
        <v>0.59948905661120166</v>
      </c>
      <c r="Y59" s="44">
        <f t="shared" si="45"/>
        <v>0.9865593870945798</v>
      </c>
      <c r="Z59" s="44">
        <f t="shared" ref="Z59" si="46">(Z54/Z56)</f>
        <v>0.54885387793039342</v>
      </c>
    </row>
    <row r="60" spans="1:26">
      <c r="O60" s="1" t="s">
        <v>44</v>
      </c>
      <c r="P60" s="44">
        <f t="shared" ref="P60:X60" si="47">B65/B16</f>
        <v>8.9883742440606245</v>
      </c>
      <c r="Q60" s="44">
        <f t="shared" si="47"/>
        <v>7.7557401912428041</v>
      </c>
      <c r="R60" s="44">
        <f t="shared" si="47"/>
        <v>4.4550175345464753</v>
      </c>
      <c r="S60" s="44">
        <f t="shared" si="47"/>
        <v>5.9827465271302867</v>
      </c>
      <c r="T60" s="44">
        <f t="shared" si="47"/>
        <v>7.7852312415990097</v>
      </c>
      <c r="U60" s="44">
        <f t="shared" si="47"/>
        <v>7.2705631627552005</v>
      </c>
      <c r="V60" s="44">
        <f t="shared" si="47"/>
        <v>5.0334080758896844</v>
      </c>
      <c r="W60" s="92">
        <f t="shared" si="47"/>
        <v>51.206348186921367</v>
      </c>
      <c r="X60" s="44">
        <f t="shared" si="47"/>
        <v>17.526253585615621</v>
      </c>
      <c r="Y60" s="44">
        <f>L65/1455</f>
        <v>17.974626402852234</v>
      </c>
      <c r="Z60" s="44">
        <f>M65/1455</f>
        <v>9.7401509695532642</v>
      </c>
    </row>
    <row r="61" spans="1:26" ht="12.75">
      <c r="A61" s="6" t="s">
        <v>59</v>
      </c>
      <c r="B61" s="15"/>
      <c r="C61" s="15"/>
      <c r="D61" s="46">
        <v>26549951</v>
      </c>
      <c r="E61" s="46">
        <v>27843951</v>
      </c>
      <c r="F61" s="46">
        <v>30243951</v>
      </c>
      <c r="G61" s="46">
        <v>31343951</v>
      </c>
      <c r="H61" s="46">
        <v>31343951</v>
      </c>
      <c r="I61" s="46">
        <v>31343951</v>
      </c>
      <c r="J61" s="46">
        <v>31343951</v>
      </c>
      <c r="K61" s="98"/>
      <c r="L61" s="46">
        <v>51834211</v>
      </c>
      <c r="M61" s="46">
        <v>51834211</v>
      </c>
      <c r="O61" s="45" t="s">
        <v>45</v>
      </c>
      <c r="P61" s="34">
        <f t="shared" ref="P61:X61" si="48">(B33/P6)</f>
        <v>5.5156235568004294E-2</v>
      </c>
      <c r="Q61" s="34">
        <f t="shared" si="48"/>
        <v>0.40569777265230028</v>
      </c>
      <c r="R61" s="34">
        <f t="shared" si="48"/>
        <v>0.3036612805777763</v>
      </c>
      <c r="S61" s="34">
        <f t="shared" si="48"/>
        <v>0.2572424977399127</v>
      </c>
      <c r="T61" s="34">
        <f t="shared" si="48"/>
        <v>0.25487330773836187</v>
      </c>
      <c r="U61" s="34">
        <f t="shared" si="48"/>
        <v>0.10458261039447103</v>
      </c>
      <c r="V61" s="34">
        <f t="shared" si="48"/>
        <v>0.193957517792467</v>
      </c>
      <c r="W61" s="93">
        <f t="shared" si="48"/>
        <v>6.9629942939195666E-2</v>
      </c>
      <c r="X61" s="34">
        <f t="shared" si="48"/>
        <v>0.11553525748428438</v>
      </c>
      <c r="Y61" s="34">
        <f>(L33/Y6)</f>
        <v>0.15098692393805582</v>
      </c>
      <c r="Z61" s="34">
        <f>(M33/Z6)</f>
        <v>3.9988674595072153E-2</v>
      </c>
    </row>
    <row r="62" spans="1:26">
      <c r="A62" s="6" t="s">
        <v>60</v>
      </c>
      <c r="B62" s="14">
        <f t="shared" ref="B62:K62" si="49">B61*P54/1000000</f>
        <v>0</v>
      </c>
      <c r="C62" s="14">
        <f t="shared" si="49"/>
        <v>0</v>
      </c>
      <c r="D62" s="14">
        <f t="shared" si="49"/>
        <v>2941.7345707999998</v>
      </c>
      <c r="E62" s="14">
        <f t="shared" si="49"/>
        <v>7850.6019844499997</v>
      </c>
      <c r="F62" s="14">
        <f t="shared" si="49"/>
        <v>12648.020308199999</v>
      </c>
      <c r="G62" s="14">
        <f t="shared" si="49"/>
        <v>15529.360522949999</v>
      </c>
      <c r="H62" s="14">
        <f t="shared" si="49"/>
        <v>8552.1970303500002</v>
      </c>
      <c r="I62" s="14">
        <f t="shared" si="49"/>
        <v>15889.815959449999</v>
      </c>
      <c r="J62" s="14">
        <f t="shared" si="49"/>
        <v>13095.502727800002</v>
      </c>
      <c r="K62" s="14">
        <f t="shared" si="49"/>
        <v>0</v>
      </c>
      <c r="L62" s="14">
        <f>L61*Y54/1000000</f>
        <v>25380.621416149999</v>
      </c>
      <c r="M62" s="14">
        <f>M61*Z54/1000000</f>
        <v>14705.365660699999</v>
      </c>
      <c r="O62" s="45" t="s">
        <v>46</v>
      </c>
      <c r="P62" s="34">
        <f t="shared" ref="P62:X62" si="50">(B16-B20)/P11</f>
        <v>5.2555951924213577E-2</v>
      </c>
      <c r="Q62" s="34">
        <f t="shared" si="50"/>
        <v>6.029368507570218E-2</v>
      </c>
      <c r="R62" s="34">
        <f t="shared" si="50"/>
        <v>0.10376367088678402</v>
      </c>
      <c r="S62" s="34">
        <f t="shared" si="50"/>
        <v>0.10513779153129341</v>
      </c>
      <c r="T62" s="34">
        <f t="shared" si="50"/>
        <v>9.1284105806027777E-2</v>
      </c>
      <c r="U62" s="34">
        <f t="shared" si="50"/>
        <v>0.11119868631447297</v>
      </c>
      <c r="V62" s="34">
        <f t="shared" si="50"/>
        <v>6.9107547647163883E-2</v>
      </c>
      <c r="W62" s="93">
        <f t="shared" si="50"/>
        <v>4.4295658794879592E-4</v>
      </c>
      <c r="X62" s="34">
        <f t="shared" si="50"/>
        <v>1.5876414456822602E-2</v>
      </c>
      <c r="Y62" s="34">
        <f>(L16-L20)/Y11</f>
        <v>2.7273992727088636E-2</v>
      </c>
      <c r="Z62" s="34">
        <f>(M16-M20)/Z11</f>
        <v>-3.16385757050716E-2</v>
      </c>
    </row>
    <row r="63" spans="1:26">
      <c r="A63" s="6" t="s">
        <v>63</v>
      </c>
      <c r="B63" s="14">
        <f t="shared" ref="B63:G63" si="51">P10</f>
        <v>6608.0550000000003</v>
      </c>
      <c r="C63" s="14">
        <f t="shared" si="51"/>
        <v>7869.99</v>
      </c>
      <c r="D63" s="14">
        <f t="shared" si="51"/>
        <v>2834.5420000000004</v>
      </c>
      <c r="E63" s="14">
        <f t="shared" si="51"/>
        <v>1814.4079999999999</v>
      </c>
      <c r="F63" s="14">
        <f t="shared" si="51"/>
        <v>1595.2449999999999</v>
      </c>
      <c r="G63" s="14">
        <f t="shared" si="51"/>
        <v>1493.277</v>
      </c>
      <c r="H63" s="14">
        <f>V10</f>
        <v>965.32499999999993</v>
      </c>
      <c r="I63" s="14">
        <f>W10</f>
        <v>1464.1769999999999</v>
      </c>
      <c r="J63" s="14">
        <f>X10</f>
        <v>1485.03</v>
      </c>
      <c r="K63" s="14">
        <f t="shared" ref="K63" si="52">Y10</f>
        <v>958.61999999999989</v>
      </c>
      <c r="L63" s="14">
        <f>Y10</f>
        <v>958.61999999999989</v>
      </c>
      <c r="M63" s="14">
        <f>Z10</f>
        <v>451.81299999999999</v>
      </c>
      <c r="O63" s="1" t="s">
        <v>47</v>
      </c>
      <c r="P63" s="47">
        <f t="shared" ref="P63:U63" si="53">(P10/P6)</f>
        <v>3.6768162196990692</v>
      </c>
      <c r="Q63" s="47">
        <f t="shared" si="53"/>
        <v>1.7589006745068585</v>
      </c>
      <c r="R63" s="47">
        <f t="shared" si="53"/>
        <v>0.4397964848454381</v>
      </c>
      <c r="S63" s="47">
        <f t="shared" si="53"/>
        <v>0.17573261795699721</v>
      </c>
      <c r="T63" s="47">
        <f t="shared" si="53"/>
        <v>0.1135645755722028</v>
      </c>
      <c r="U63" s="47">
        <f t="shared" si="53"/>
        <v>9.5275249733719022E-2</v>
      </c>
      <c r="V63" s="47">
        <f>(V10/V6)</f>
        <v>4.9928091548773465E-2</v>
      </c>
      <c r="W63" s="94">
        <f>(W10/W6)</f>
        <v>7.4830823055901274E-2</v>
      </c>
      <c r="X63" s="47">
        <f>(X10/X6)</f>
        <v>6.7982058592483935E-2</v>
      </c>
      <c r="Y63" s="47">
        <f>(Y10/Y6)</f>
        <v>3.7262112071646238E-2</v>
      </c>
      <c r="Z63" s="47">
        <f>(Z10/Z6)</f>
        <v>1.6863186055419761E-2</v>
      </c>
    </row>
    <row r="64" spans="1:26">
      <c r="A64" s="6" t="s">
        <v>61</v>
      </c>
      <c r="B64" s="14">
        <f>P32</f>
        <v>0</v>
      </c>
      <c r="C64" s="14">
        <f>Q32</f>
        <v>0</v>
      </c>
      <c r="D64" s="14">
        <f t="shared" ref="D64:J64" si="54">R32+R31</f>
        <v>200.488</v>
      </c>
      <c r="E64" s="14">
        <f t="shared" si="54"/>
        <v>155.566</v>
      </c>
      <c r="F64" s="14">
        <f t="shared" si="54"/>
        <v>157.35300000000001</v>
      </c>
      <c r="G64" s="14">
        <f t="shared" si="54"/>
        <v>225.73899999999998</v>
      </c>
      <c r="H64" s="14">
        <f t="shared" si="54"/>
        <v>152.51900000000001</v>
      </c>
      <c r="I64" s="14">
        <f t="shared" si="54"/>
        <v>168.27199999999999</v>
      </c>
      <c r="J64" s="14">
        <f t="shared" si="54"/>
        <v>104.67099999999999</v>
      </c>
      <c r="K64" s="14">
        <f t="shared" ref="K64" si="55">Y32+Y31</f>
        <v>186.16</v>
      </c>
      <c r="L64" s="14">
        <f>Y32+Y31</f>
        <v>186.16</v>
      </c>
      <c r="M64" s="14">
        <f>Z32+Z31</f>
        <v>985.25900000000001</v>
      </c>
      <c r="O64" s="1" t="s">
        <v>48</v>
      </c>
      <c r="P64" s="47">
        <f t="shared" ref="P64:U64" si="56">(P10-P32-P31)/P6</f>
        <v>3.6206695666979369</v>
      </c>
      <c r="Q64" s="47">
        <f t="shared" si="56"/>
        <v>1.7490313741792156</v>
      </c>
      <c r="R64" s="47">
        <f t="shared" si="56"/>
        <v>0.40868954846781802</v>
      </c>
      <c r="S64" s="47">
        <f>(S10-S32-S31)/S6</f>
        <v>0.16066543326364366</v>
      </c>
      <c r="T64" s="47">
        <f t="shared" si="56"/>
        <v>0.1023627058531234</v>
      </c>
      <c r="U64" s="47">
        <f t="shared" si="56"/>
        <v>8.0872470075531028E-2</v>
      </c>
      <c r="V64" s="47">
        <f>(V10-V32-V31)/V6</f>
        <v>4.2039574629676391E-2</v>
      </c>
      <c r="W64" s="94">
        <f>(W10-W32-W31)/W6</f>
        <v>6.6230816187016817E-2</v>
      </c>
      <c r="X64" s="47">
        <f>(X10-X32-X31)/X6</f>
        <v>6.3190404514833071E-2</v>
      </c>
      <c r="Y64" s="47">
        <f>(Y10-Y32-Y31)/Y6</f>
        <v>3.002596554512096E-2</v>
      </c>
      <c r="Z64" s="47">
        <f>(Z10-Z32-Z31)/Z6</f>
        <v>-1.9910005131590833E-2</v>
      </c>
    </row>
    <row r="65" spans="1:26">
      <c r="A65" s="6" t="s">
        <v>62</v>
      </c>
      <c r="B65" s="10">
        <f t="shared" ref="B65:G65" si="57">B62+B63-B64</f>
        <v>6608.0550000000003</v>
      </c>
      <c r="C65" s="10">
        <f t="shared" si="57"/>
        <v>7869.99</v>
      </c>
      <c r="D65" s="10">
        <f t="shared" si="57"/>
        <v>5575.7885708000003</v>
      </c>
      <c r="E65" s="10">
        <f t="shared" si="57"/>
        <v>9509.4439844499993</v>
      </c>
      <c r="F65" s="10">
        <f t="shared" si="57"/>
        <v>14085.912308200001</v>
      </c>
      <c r="G65" s="10">
        <f t="shared" si="57"/>
        <v>16796.898522949996</v>
      </c>
      <c r="H65" s="10">
        <f>H62+H63-H64</f>
        <v>9365.0030303500007</v>
      </c>
      <c r="I65" s="10">
        <f>I62+I63-I64</f>
        <v>17185.720959449998</v>
      </c>
      <c r="J65" s="10">
        <f>J62+J63-J64</f>
        <v>14475.861727800002</v>
      </c>
      <c r="K65" s="10">
        <f t="shared" ref="K65" si="58">K62+K63-K64</f>
        <v>772.45999999999992</v>
      </c>
      <c r="L65" s="10">
        <f>L62+L63-L64</f>
        <v>26153.081416149998</v>
      </c>
      <c r="M65" s="10">
        <f>M62+M63-M64</f>
        <v>14171.919660699999</v>
      </c>
      <c r="O65" s="1" t="s">
        <v>49</v>
      </c>
      <c r="P65" s="7">
        <f t="shared" ref="P65:U65" si="59">(P57/P54)</f>
        <v>0</v>
      </c>
      <c r="Q65" s="7">
        <f t="shared" si="59"/>
        <v>0</v>
      </c>
      <c r="R65" s="7">
        <f t="shared" si="59"/>
        <v>0</v>
      </c>
      <c r="S65" s="7">
        <f t="shared" si="59"/>
        <v>0</v>
      </c>
      <c r="T65" s="7">
        <f t="shared" si="59"/>
        <v>0</v>
      </c>
      <c r="U65" s="7">
        <f t="shared" si="59"/>
        <v>4.03673428196589E-3</v>
      </c>
      <c r="V65" s="7">
        <f>(V57/V54)</f>
        <v>7.3300348176653833E-3</v>
      </c>
      <c r="W65" s="95">
        <f>(W57/W54)</f>
        <v>0</v>
      </c>
      <c r="X65" s="7">
        <f>(X57/X54)</f>
        <v>0</v>
      </c>
      <c r="Y65" s="7">
        <f>(Y57/Y54)</f>
        <v>0</v>
      </c>
      <c r="Z65" s="7">
        <f>(Z57/Z54)</f>
        <v>0</v>
      </c>
    </row>
    <row r="66" spans="1:26">
      <c r="O66" s="1" t="s">
        <v>50</v>
      </c>
      <c r="P66" s="16">
        <f>(AVERAGE(P30)/B6*365)</f>
        <v>174.77209794179595</v>
      </c>
      <c r="Q66" s="16">
        <f t="shared" ref="Q66:X66" si="60">(AVERAGE(P30:Q30)/C6*365)</f>
        <v>156.45389210020716</v>
      </c>
      <c r="R66" s="16">
        <f t="shared" si="60"/>
        <v>126.43669758651613</v>
      </c>
      <c r="S66" s="16">
        <f t="shared" si="60"/>
        <v>60.93794355818288</v>
      </c>
      <c r="T66" s="16">
        <f t="shared" si="60"/>
        <v>58.2556528467641</v>
      </c>
      <c r="U66" s="16">
        <f t="shared" si="60"/>
        <v>61.286168977233928</v>
      </c>
      <c r="V66" s="16">
        <f t="shared" si="60"/>
        <v>79.917947272227181</v>
      </c>
      <c r="W66" s="96">
        <f t="shared" si="60"/>
        <v>189.12701909376321</v>
      </c>
      <c r="X66" s="16">
        <f t="shared" si="60"/>
        <v>119.18556392966745</v>
      </c>
      <c r="Y66" s="16">
        <f>(AVERAGE(X30:Y30)/L6*365)</f>
        <v>75.245901155382157</v>
      </c>
      <c r="Z66" s="16">
        <f>(AVERAGE(Y30:Z30)/M6*365)</f>
        <v>95.169936036576914</v>
      </c>
    </row>
    <row r="67" spans="1:26">
      <c r="O67" s="1" t="s">
        <v>51</v>
      </c>
      <c r="P67" s="16">
        <f>AVERAGE(P39)/(B10+B11+B12)*365</f>
        <v>80.213484286698034</v>
      </c>
      <c r="Q67" s="16">
        <f>AVERAGE(P39:Q39)/(C10+C11+C12)*365</f>
        <v>73.6824316008652</v>
      </c>
      <c r="R67" s="16">
        <f>AVERAGE(Q39:R39)/(D10+D11+D12)*365</f>
        <v>85.233708271845643</v>
      </c>
      <c r="S67" s="16">
        <f t="shared" ref="S67:X67" si="61">AVERAGE(R39:S39)/(E9)*365</f>
        <v>66.656632131321942</v>
      </c>
      <c r="T67" s="16">
        <f t="shared" si="61"/>
        <v>67.329056897913532</v>
      </c>
      <c r="U67" s="16">
        <f t="shared" si="61"/>
        <v>57.383968922672778</v>
      </c>
      <c r="V67" s="16">
        <f t="shared" si="61"/>
        <v>67.795586355100838</v>
      </c>
      <c r="W67" s="96">
        <f t="shared" si="61"/>
        <v>148.9832527456453</v>
      </c>
      <c r="X67" s="16">
        <f t="shared" si="61"/>
        <v>103.44327606233662</v>
      </c>
      <c r="Y67" s="16">
        <f>AVERAGE(X39:Y39)/(L9)*365</f>
        <v>77.095535483870975</v>
      </c>
      <c r="Z67" s="16">
        <f>AVERAGE(Y39:Z39)/(M9)*365</f>
        <v>133.58720890409739</v>
      </c>
    </row>
    <row r="68" spans="1:26">
      <c r="O68" s="1" t="s">
        <v>52</v>
      </c>
      <c r="P68" s="16">
        <f>(AVERAGE(P27:P27)/(B10+B11+B12)*365)</f>
        <v>100.03740388121476</v>
      </c>
      <c r="Q68" s="16">
        <f>(AVERAGE(P27:Q27)/(C10+C11+C12)*365)</f>
        <v>66.861914489002231</v>
      </c>
      <c r="R68" s="16">
        <f>(AVERAGE(Q27:R27)/(D10+D11+D12)*365)</f>
        <v>45.69180459268825</v>
      </c>
      <c r="S68" s="16">
        <f t="shared" ref="S68:X68" si="62">(AVERAGE(R27:S27)/(E9)*365)</f>
        <v>29.549022498168004</v>
      </c>
      <c r="T68" s="16">
        <f t="shared" si="62"/>
        <v>38.551673897399297</v>
      </c>
      <c r="U68" s="16">
        <f t="shared" si="62"/>
        <v>45.14245043462661</v>
      </c>
      <c r="V68" s="16">
        <f t="shared" si="62"/>
        <v>50.747025165297394</v>
      </c>
      <c r="W68" s="96">
        <f t="shared" si="62"/>
        <v>94.346629632900118</v>
      </c>
      <c r="X68" s="16">
        <f t="shared" si="62"/>
        <v>65.981172034505093</v>
      </c>
      <c r="Y68" s="16">
        <f>(AVERAGE(X27:Y27)/(L9)*365)</f>
        <v>54.943547841890052</v>
      </c>
      <c r="Z68" s="16">
        <f>(AVERAGE(Y27:Z27)/(M9)*365)</f>
        <v>81.704880332286436</v>
      </c>
    </row>
    <row r="69" spans="1:26">
      <c r="O69" s="1" t="s">
        <v>67</v>
      </c>
      <c r="P69" s="16">
        <f t="shared" ref="P69:U69" si="63">(P68+P66-P67)</f>
        <v>194.59601753631267</v>
      </c>
      <c r="Q69" s="16">
        <f t="shared" si="63"/>
        <v>149.6333749883442</v>
      </c>
      <c r="R69" s="16">
        <f t="shared" si="63"/>
        <v>86.894793907358746</v>
      </c>
      <c r="S69" s="16">
        <f t="shared" si="63"/>
        <v>23.830333925028938</v>
      </c>
      <c r="T69" s="16">
        <f t="shared" si="63"/>
        <v>29.478269846249859</v>
      </c>
      <c r="U69" s="16">
        <f t="shared" si="63"/>
        <v>49.044650489187759</v>
      </c>
      <c r="V69" s="16">
        <f>(V68+V66-V67)</f>
        <v>62.86938608242373</v>
      </c>
      <c r="W69" s="96">
        <f>(W68+W66-W67)</f>
        <v>134.49039598101803</v>
      </c>
      <c r="X69" s="16">
        <f>(X68+X66-X67)</f>
        <v>81.723459901835923</v>
      </c>
      <c r="Y69" s="16">
        <f>(Y68+Y66-Y67)</f>
        <v>53.093913513401247</v>
      </c>
      <c r="Z69" s="16">
        <f>(Z68+Z66-Z67)</f>
        <v>43.287607464765955</v>
      </c>
    </row>
    <row r="70" spans="1:26">
      <c r="O70" s="1" t="s">
        <v>53</v>
      </c>
      <c r="P70" s="16">
        <f>AVERAGE(P44:P44)/B6*365</f>
        <v>25.650033209890164</v>
      </c>
      <c r="Q70" s="16">
        <f t="shared" ref="Q70:X70" si="64">AVERAGE(P44:Q44)/C6*365</f>
        <v>75.441187222992752</v>
      </c>
      <c r="R70" s="16">
        <f t="shared" si="64"/>
        <v>63.591926961611449</v>
      </c>
      <c r="S70" s="16">
        <f t="shared" si="64"/>
        <v>15.113117408630412</v>
      </c>
      <c r="T70" s="16">
        <f t="shared" si="64"/>
        <v>40.727380585737123</v>
      </c>
      <c r="U70" s="16">
        <f t="shared" si="64"/>
        <v>46.105545984433533</v>
      </c>
      <c r="V70" s="16">
        <f t="shared" si="64"/>
        <v>46.012135726959102</v>
      </c>
      <c r="W70" s="96">
        <f t="shared" si="64"/>
        <v>98.330315995295322</v>
      </c>
      <c r="X70" s="16">
        <f t="shared" si="64"/>
        <v>57.481762355984948</v>
      </c>
      <c r="Y70" s="16">
        <f>AVERAGE(X44:Y44)/L6*365</f>
        <v>30.667114940442925</v>
      </c>
      <c r="Z70" s="16">
        <f>AVERAGE(Y44:Z44)/M6*365</f>
        <v>33.585128696562457</v>
      </c>
    </row>
    <row r="71" spans="1:26">
      <c r="O71" s="6" t="s">
        <v>69</v>
      </c>
      <c r="P71" s="7">
        <f t="shared" ref="P71:X71" si="65">B21/P10</f>
        <v>0.1214001699441061</v>
      </c>
      <c r="Q71" s="7">
        <f t="shared" si="65"/>
        <v>0.10966532358999187</v>
      </c>
      <c r="R71" s="7">
        <f t="shared" si="65"/>
        <v>0.25922882779651873</v>
      </c>
      <c r="S71" s="7">
        <f t="shared" si="65"/>
        <v>5.0240629450487434E-2</v>
      </c>
      <c r="T71" s="7">
        <f t="shared" si="65"/>
        <v>2.1840532332024237E-2</v>
      </c>
      <c r="U71" s="7">
        <f t="shared" si="65"/>
        <v>3.4051284523902797E-2</v>
      </c>
      <c r="V71" s="7">
        <f t="shared" si="65"/>
        <v>5.0099189392173629E-2</v>
      </c>
      <c r="W71" s="95">
        <f t="shared" si="65"/>
        <v>2.0087735294298435E-2</v>
      </c>
      <c r="X71" s="7">
        <f t="shared" si="65"/>
        <v>2.6994067459916636E-2</v>
      </c>
      <c r="Y71" s="7">
        <f>L21/Y10</f>
        <v>4.9884208549790331E-2</v>
      </c>
      <c r="Z71" s="7">
        <f>M21/Z10</f>
        <v>0.13966397602547956</v>
      </c>
    </row>
    <row r="72" spans="1:26">
      <c r="O72" s="6" t="s">
        <v>120</v>
      </c>
      <c r="P72" s="6"/>
      <c r="Q72" s="6"/>
      <c r="R72" s="6">
        <f t="shared" ref="R72:X72" si="66">D4/R15</f>
        <v>3.0518032411038933</v>
      </c>
      <c r="S72" s="49">
        <f t="shared" si="66"/>
        <v>3.2671386032708734</v>
      </c>
      <c r="T72" s="49">
        <f t="shared" si="66"/>
        <v>2.8148090565390227</v>
      </c>
      <c r="U72" s="49">
        <f t="shared" si="66"/>
        <v>2.9227622867028389</v>
      </c>
      <c r="V72" s="49">
        <f t="shared" si="66"/>
        <v>2.5790103297682445</v>
      </c>
      <c r="W72" s="97">
        <f t="shared" si="66"/>
        <v>1.1966424873388339</v>
      </c>
      <c r="X72" s="49">
        <f t="shared" si="66"/>
        <v>1.7117272707923485</v>
      </c>
      <c r="Y72" s="49">
        <f>L4/Y15</f>
        <v>2.7565649422874361</v>
      </c>
      <c r="Z72" s="49">
        <f>M4/Z15</f>
        <v>1.8601379909782698</v>
      </c>
    </row>
    <row r="86" spans="20:20">
      <c r="T86" s="2"/>
    </row>
    <row r="87" spans="20:20">
      <c r="T87" s="2"/>
    </row>
    <row r="88" spans="20:20">
      <c r="T88" s="2"/>
    </row>
    <row r="89" spans="20:20">
      <c r="T89" s="2"/>
    </row>
  </sheetData>
  <mergeCells count="3">
    <mergeCell ref="O2:V2"/>
    <mergeCell ref="A2:I2"/>
    <mergeCell ref="A1:Z1"/>
  </mergeCells>
  <pageMargins left="0.7" right="0.7" top="0.75" bottom="0.75" header="0.3" footer="0.3"/>
  <pageSetup paperSize="9" scale="57" orientation="landscape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A6" sqref="A6"/>
    </sheetView>
  </sheetViews>
  <sheetFormatPr defaultRowHeight="15"/>
  <sheetData>
    <row r="1" spans="1:1">
      <c r="A1" t="s">
        <v>186</v>
      </c>
    </row>
    <row r="2" spans="1:1">
      <c r="A2" t="s">
        <v>187</v>
      </c>
    </row>
    <row r="3" spans="1:1">
      <c r="A3" t="s">
        <v>188</v>
      </c>
    </row>
    <row r="4" spans="1:1">
      <c r="A4" t="s">
        <v>189</v>
      </c>
    </row>
    <row r="5" spans="1:1">
      <c r="A5" t="s">
        <v>190</v>
      </c>
    </row>
    <row r="6" spans="1:1">
      <c r="A6" t="s">
        <v>191</v>
      </c>
    </row>
    <row r="7" spans="1:1">
      <c r="A7" t="s">
        <v>192</v>
      </c>
    </row>
    <row r="8" spans="1:1">
      <c r="A8" t="s">
        <v>193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73"/>
  <sheetViews>
    <sheetView tabSelected="1" zoomScale="70" zoomScaleNormal="70" workbookViewId="0">
      <pane ySplit="1" topLeftCell="A2" activePane="bottomLeft" state="frozen"/>
      <selection pane="bottomLeft" activeCell="E21" sqref="E21"/>
    </sheetView>
  </sheetViews>
  <sheetFormatPr defaultRowHeight="17.25"/>
  <cols>
    <col min="1" max="1" width="50.42578125" style="160" customWidth="1"/>
    <col min="2" max="13" width="14.28515625" style="160" customWidth="1"/>
    <col min="14" max="16384" width="9.140625" style="160"/>
  </cols>
  <sheetData>
    <row r="1" spans="1:14">
      <c r="B1" s="161" t="s">
        <v>207</v>
      </c>
      <c r="C1" s="161" t="s">
        <v>257</v>
      </c>
      <c r="D1" s="161" t="s">
        <v>207</v>
      </c>
      <c r="E1" s="161" t="s">
        <v>257</v>
      </c>
      <c r="F1" s="161" t="s">
        <v>207</v>
      </c>
      <c r="G1" s="161" t="s">
        <v>257</v>
      </c>
      <c r="H1" s="161" t="s">
        <v>207</v>
      </c>
      <c r="I1" s="161" t="s">
        <v>257</v>
      </c>
      <c r="J1" s="161" t="s">
        <v>207</v>
      </c>
      <c r="K1" s="161" t="s">
        <v>257</v>
      </c>
      <c r="L1" s="162" t="s">
        <v>207</v>
      </c>
      <c r="M1" s="162" t="s">
        <v>257</v>
      </c>
    </row>
    <row r="2" spans="1:14">
      <c r="A2" s="163" t="s">
        <v>208</v>
      </c>
      <c r="B2" s="164" t="s">
        <v>201</v>
      </c>
      <c r="C2" s="165"/>
      <c r="D2" s="164" t="s">
        <v>209</v>
      </c>
      <c r="E2" s="165"/>
      <c r="F2" s="164" t="s">
        <v>210</v>
      </c>
      <c r="G2" s="165"/>
      <c r="H2" s="164" t="s">
        <v>211</v>
      </c>
      <c r="I2" s="165"/>
      <c r="J2" s="166" t="s">
        <v>212</v>
      </c>
      <c r="K2" s="167"/>
      <c r="L2" s="164" t="s">
        <v>203</v>
      </c>
      <c r="M2" s="165"/>
    </row>
    <row r="3" spans="1:14">
      <c r="A3" s="168"/>
      <c r="B3" s="168"/>
      <c r="C3" s="168"/>
      <c r="D3" s="168"/>
      <c r="E3" s="168"/>
      <c r="F3" s="168"/>
      <c r="G3" s="168"/>
      <c r="H3" s="168"/>
      <c r="I3" s="168"/>
      <c r="J3" s="169"/>
      <c r="K3" s="169"/>
      <c r="L3" s="169"/>
      <c r="M3" s="169"/>
    </row>
    <row r="4" spans="1:14">
      <c r="A4" s="170" t="s">
        <v>214</v>
      </c>
      <c r="B4" s="168"/>
      <c r="C4" s="168"/>
      <c r="D4" s="168"/>
      <c r="E4" s="168"/>
      <c r="F4" s="168"/>
      <c r="G4" s="168"/>
      <c r="H4" s="168"/>
      <c r="I4" s="168"/>
      <c r="J4" s="169"/>
      <c r="K4" s="169"/>
      <c r="L4" s="169"/>
      <c r="M4" s="169"/>
    </row>
    <row r="5" spans="1:14">
      <c r="A5" s="168" t="s">
        <v>216</v>
      </c>
      <c r="B5" s="171">
        <v>14969.13</v>
      </c>
      <c r="C5" s="171">
        <v>9451</v>
      </c>
      <c r="D5" s="172">
        <v>20506.21</v>
      </c>
      <c r="E5" s="171">
        <v>15742.8</v>
      </c>
      <c r="F5" s="172">
        <v>50808.9</v>
      </c>
      <c r="G5" s="172">
        <v>54275.199999999997</v>
      </c>
      <c r="H5" s="172">
        <v>3803.444</v>
      </c>
      <c r="I5" s="168">
        <v>3346.7860000000001</v>
      </c>
      <c r="J5" s="173">
        <v>5839.97</v>
      </c>
      <c r="K5" s="173">
        <v>6840.2659999999996</v>
      </c>
      <c r="L5" s="173">
        <v>6012.97</v>
      </c>
      <c r="M5" s="173">
        <v>5014.9179999999997</v>
      </c>
      <c r="N5" s="174" t="s">
        <v>213</v>
      </c>
    </row>
    <row r="6" spans="1:14">
      <c r="A6" s="168" t="s">
        <v>258</v>
      </c>
      <c r="B6" s="175"/>
      <c r="C6" s="175">
        <v>9690</v>
      </c>
      <c r="D6" s="176"/>
      <c r="E6" s="160">
        <v>13748.19</v>
      </c>
      <c r="F6" s="176"/>
      <c r="G6" s="176">
        <v>37314.699999999997</v>
      </c>
      <c r="H6" s="176"/>
      <c r="I6" s="168">
        <v>2601.4499999999998</v>
      </c>
      <c r="J6" s="176"/>
      <c r="K6" s="176">
        <v>3463.3429999999998</v>
      </c>
      <c r="L6" s="176"/>
      <c r="M6" s="176">
        <v>4136.7950000000001</v>
      </c>
      <c r="N6" s="177" t="s">
        <v>215</v>
      </c>
    </row>
    <row r="7" spans="1:14">
      <c r="A7" s="168" t="s">
        <v>129</v>
      </c>
      <c r="B7" s="178"/>
      <c r="C7" s="178">
        <v>-8.2900695688044035E-3</v>
      </c>
      <c r="D7" s="178"/>
      <c r="E7" s="178">
        <v>4.619382149080975E-2</v>
      </c>
      <c r="F7" s="178"/>
      <c r="G7" s="178">
        <v>0.13302760915540834</v>
      </c>
      <c r="H7" s="178"/>
      <c r="I7" s="178">
        <v>0.29467992784585562</v>
      </c>
      <c r="J7" s="178"/>
      <c r="K7" s="178">
        <v>0.25465935324336786</v>
      </c>
      <c r="L7" s="178"/>
      <c r="M7" s="178">
        <v>6.6268580430509205E-2</v>
      </c>
      <c r="N7" s="179" t="s">
        <v>217</v>
      </c>
    </row>
    <row r="8" spans="1:14">
      <c r="A8" s="168" t="s">
        <v>219</v>
      </c>
      <c r="B8" s="171">
        <v>1212.8800000000001</v>
      </c>
      <c r="C8" s="171">
        <v>-374</v>
      </c>
      <c r="D8" s="172">
        <v>2195.86</v>
      </c>
      <c r="E8" s="171">
        <v>1449.5</v>
      </c>
      <c r="F8" s="172">
        <v>9114.4</v>
      </c>
      <c r="G8" s="172">
        <v>7774.85</v>
      </c>
      <c r="H8" s="172">
        <v>313.89999999999998</v>
      </c>
      <c r="I8" s="168">
        <v>1542.2</v>
      </c>
      <c r="J8" s="173">
        <v>796.65</v>
      </c>
      <c r="K8" s="173">
        <v>6838.34</v>
      </c>
      <c r="L8" s="173">
        <v>1164.02</v>
      </c>
      <c r="M8" s="173">
        <v>544.83500000000004</v>
      </c>
      <c r="N8" s="180" t="s">
        <v>218</v>
      </c>
    </row>
    <row r="9" spans="1:14">
      <c r="A9" s="168" t="s">
        <v>259</v>
      </c>
      <c r="B9" s="175"/>
      <c r="C9" s="175">
        <v>961</v>
      </c>
      <c r="D9" s="176"/>
      <c r="E9" s="160">
        <v>1377.48</v>
      </c>
      <c r="F9" s="176"/>
      <c r="G9" s="176">
        <v>9171.2000000000007</v>
      </c>
      <c r="H9" s="176"/>
      <c r="I9" s="168">
        <v>258.92599999999999</v>
      </c>
      <c r="J9" s="176"/>
      <c r="K9" s="176">
        <v>529.25699999999995</v>
      </c>
      <c r="L9" s="176"/>
      <c r="M9" s="176">
        <v>975.84900000000005</v>
      </c>
    </row>
    <row r="10" spans="1:14">
      <c r="A10" s="168" t="s">
        <v>129</v>
      </c>
      <c r="B10" s="178"/>
      <c r="C10" s="178">
        <v>-1.7301006551931364</v>
      </c>
      <c r="D10" s="178"/>
      <c r="E10" s="178">
        <v>1.7132752689285491E-2</v>
      </c>
      <c r="F10" s="178"/>
      <c r="G10" s="178">
        <v>-5.3569738370859987E-2</v>
      </c>
      <c r="H10" s="178"/>
      <c r="I10" s="178">
        <v>0.81268223644210646</v>
      </c>
      <c r="J10" s="178"/>
      <c r="K10" s="178">
        <v>1.3465403493186137</v>
      </c>
      <c r="L10" s="178"/>
      <c r="M10" s="178">
        <v>-0.17656853340355283</v>
      </c>
    </row>
    <row r="11" spans="1:14">
      <c r="A11" s="168" t="s">
        <v>130</v>
      </c>
      <c r="B11" s="178">
        <v>8.1025416974800812E-2</v>
      </c>
      <c r="C11" s="178">
        <v>-3.9572532007195009E-2</v>
      </c>
      <c r="D11" s="178">
        <v>0.10708268373336663</v>
      </c>
      <c r="E11" s="178">
        <v>9.2073836928627695E-2</v>
      </c>
      <c r="F11" s="178">
        <v>0.17938589499083821</v>
      </c>
      <c r="G11" s="178">
        <v>0.14324866605742587</v>
      </c>
      <c r="H11" s="178">
        <v>8.2530464494810482E-2</v>
      </c>
      <c r="I11" s="178">
        <v>0.4608003021406209</v>
      </c>
      <c r="J11" s="178">
        <v>0.13641337198649992</v>
      </c>
      <c r="K11" s="178">
        <v>0.99971843200249821</v>
      </c>
      <c r="L11" s="178">
        <v>0.19358486737835046</v>
      </c>
      <c r="M11" s="178">
        <v>0.10864285318324249</v>
      </c>
    </row>
    <row r="12" spans="1:14">
      <c r="A12" s="168" t="s">
        <v>9</v>
      </c>
      <c r="B12" s="171">
        <v>529.16999999999996</v>
      </c>
      <c r="C12" s="171">
        <v>-1050</v>
      </c>
      <c r="D12" s="172">
        <v>986.63</v>
      </c>
      <c r="E12" s="171">
        <v>380.3</v>
      </c>
      <c r="F12" s="172">
        <v>6047.4</v>
      </c>
      <c r="G12" s="172">
        <v>506.63</v>
      </c>
      <c r="H12" s="172">
        <v>159.15</v>
      </c>
      <c r="I12" s="168">
        <v>-9.4209999999999994</v>
      </c>
      <c r="J12" s="173">
        <v>555.47</v>
      </c>
      <c r="K12" s="173">
        <v>372.33100000000002</v>
      </c>
      <c r="L12" s="181">
        <v>705.97</v>
      </c>
      <c r="M12" s="181">
        <v>147.102</v>
      </c>
    </row>
    <row r="13" spans="1:14">
      <c r="A13" s="168" t="s">
        <v>260</v>
      </c>
      <c r="B13" s="175"/>
      <c r="C13" s="175">
        <v>502</v>
      </c>
      <c r="D13" s="176"/>
      <c r="E13" s="160">
        <v>860.34</v>
      </c>
      <c r="F13" s="176"/>
      <c r="G13" s="176">
        <v>6600.2</v>
      </c>
      <c r="H13" s="176"/>
      <c r="I13" s="168">
        <v>157.227</v>
      </c>
      <c r="J13" s="176"/>
      <c r="K13" s="176">
        <v>357.11099999999999</v>
      </c>
      <c r="L13" s="176"/>
      <c r="M13" s="176">
        <v>658.14200000000005</v>
      </c>
    </row>
    <row r="14" spans="1:14">
      <c r="A14" s="168" t="s">
        <v>129</v>
      </c>
      <c r="B14" s="178"/>
      <c r="C14" s="178">
        <v>-2.2788762651528449</v>
      </c>
      <c r="D14" s="178"/>
      <c r="E14" s="178">
        <v>-0.23823899559668771</v>
      </c>
      <c r="F14" s="178"/>
      <c r="G14" s="178">
        <v>-0.57501075892016251</v>
      </c>
      <c r="H14" s="178"/>
      <c r="I14" s="178">
        <v>-1.3913121133214028</v>
      </c>
      <c r="J14" s="178"/>
      <c r="K14" s="178">
        <v>1.400942019367335E-2</v>
      </c>
      <c r="L14" s="178"/>
      <c r="M14" s="178">
        <v>-0.39312442751352783</v>
      </c>
    </row>
    <row r="15" spans="1:14">
      <c r="A15" s="168" t="s">
        <v>131</v>
      </c>
      <c r="B15" s="178">
        <v>3.5350751847301749E-2</v>
      </c>
      <c r="C15" s="178">
        <v>-0.11109935456565442</v>
      </c>
      <c r="D15" s="178">
        <v>4.8113717746965434E-2</v>
      </c>
      <c r="E15" s="178">
        <v>2.415707498030846E-2</v>
      </c>
      <c r="F15" s="178">
        <v>0.11902245472741979</v>
      </c>
      <c r="G15" s="178">
        <v>9.3344658333824656E-3</v>
      </c>
      <c r="H15" s="178">
        <v>4.1843655381806594E-2</v>
      </c>
      <c r="I15" s="178">
        <v>-2.814939467297879E-3</v>
      </c>
      <c r="J15" s="178">
        <v>9.5115214632951889E-2</v>
      </c>
      <c r="K15" s="178">
        <v>5.4432239915816145E-2</v>
      </c>
      <c r="L15" s="178">
        <v>0.1174078699877099</v>
      </c>
      <c r="M15" s="178">
        <v>2.9332882412035455E-2</v>
      </c>
    </row>
    <row r="16" spans="1:14">
      <c r="A16" s="168" t="s">
        <v>11</v>
      </c>
      <c r="B16" s="168">
        <v>74.94</v>
      </c>
      <c r="C16" s="168">
        <v>20.67</v>
      </c>
      <c r="D16" s="172">
        <v>8.7899999999999991</v>
      </c>
      <c r="E16" s="168">
        <v>3</v>
      </c>
      <c r="F16" s="172">
        <v>204.23</v>
      </c>
      <c r="G16" s="172">
        <v>174.15</v>
      </c>
      <c r="H16" s="172">
        <v>19.5</v>
      </c>
      <c r="I16" s="168">
        <v>-1.17</v>
      </c>
      <c r="J16" s="173">
        <v>17.68</v>
      </c>
      <c r="K16" s="173">
        <v>11.77</v>
      </c>
      <c r="L16" s="173">
        <v>16.170000000000002</v>
      </c>
      <c r="M16" s="173">
        <v>3.38</v>
      </c>
    </row>
    <row r="17" spans="1:13">
      <c r="A17" s="168"/>
      <c r="B17" s="168"/>
      <c r="C17" s="168"/>
      <c r="D17" s="168"/>
      <c r="F17" s="172"/>
      <c r="G17" s="172"/>
      <c r="H17" s="172"/>
      <c r="I17" s="168"/>
      <c r="J17" s="173"/>
      <c r="K17" s="173"/>
      <c r="L17" s="173"/>
      <c r="M17" s="173"/>
    </row>
    <row r="18" spans="1:13">
      <c r="A18" s="170" t="s">
        <v>132</v>
      </c>
      <c r="B18" s="168"/>
      <c r="C18" s="168"/>
      <c r="D18" s="168"/>
      <c r="F18" s="172"/>
      <c r="G18" s="172"/>
      <c r="H18" s="172"/>
      <c r="I18" s="168"/>
      <c r="J18" s="173"/>
      <c r="K18" s="173"/>
      <c r="L18" s="173"/>
      <c r="M18" s="173"/>
    </row>
    <row r="19" spans="1:13">
      <c r="A19" s="168" t="s">
        <v>220</v>
      </c>
      <c r="B19" s="171">
        <v>25726.400000000001</v>
      </c>
      <c r="C19" s="171">
        <v>26792.645</v>
      </c>
      <c r="D19" s="172">
        <v>10557.99</v>
      </c>
      <c r="E19" s="182">
        <v>10777</v>
      </c>
      <c r="F19" s="172">
        <v>44289.599999999999</v>
      </c>
      <c r="G19" s="172">
        <v>46713.8</v>
      </c>
      <c r="H19" s="172">
        <v>2797.2</v>
      </c>
      <c r="I19" s="168">
        <v>2783.6469999999999</v>
      </c>
      <c r="J19" s="173">
        <v>3955.27</v>
      </c>
      <c r="K19" s="173">
        <v>4376.17</v>
      </c>
      <c r="L19" s="173">
        <v>5070.3100000000004</v>
      </c>
      <c r="M19" s="173">
        <v>5063.43</v>
      </c>
    </row>
    <row r="20" spans="1:13">
      <c r="A20" s="168" t="s">
        <v>63</v>
      </c>
      <c r="B20" s="171">
        <v>958.61999999999989</v>
      </c>
      <c r="C20" s="171">
        <v>451.81299999999999</v>
      </c>
      <c r="D20" s="183">
        <v>5757.01</v>
      </c>
      <c r="E20" s="183">
        <v>6974.7000000000007</v>
      </c>
      <c r="F20" s="171">
        <v>1383.8</v>
      </c>
      <c r="G20" s="171">
        <v>469.8</v>
      </c>
      <c r="H20" s="171">
        <v>502.73</v>
      </c>
      <c r="I20" s="171">
        <v>246.25400000000002</v>
      </c>
      <c r="J20" s="171">
        <v>882.69</v>
      </c>
      <c r="K20" s="171">
        <v>651.35</v>
      </c>
      <c r="L20" s="171">
        <v>347.86</v>
      </c>
      <c r="M20" s="171">
        <v>380.68700000000001</v>
      </c>
    </row>
    <row r="21" spans="1:13">
      <c r="A21" s="168" t="s">
        <v>134</v>
      </c>
      <c r="B21" s="171">
        <v>267.08</v>
      </c>
      <c r="C21" s="171">
        <v>411.53699999999998</v>
      </c>
      <c r="D21" s="172">
        <v>2137.36</v>
      </c>
      <c r="E21" s="171">
        <v>3618.3</v>
      </c>
      <c r="F21" s="172">
        <v>610.5</v>
      </c>
      <c r="G21" s="172">
        <v>287.10000000000002</v>
      </c>
      <c r="H21" s="172">
        <v>225</v>
      </c>
      <c r="I21" s="168">
        <v>165</v>
      </c>
      <c r="J21" s="173">
        <v>76.680000000000007</v>
      </c>
      <c r="K21" s="173">
        <v>18.605</v>
      </c>
      <c r="L21" s="173">
        <v>0</v>
      </c>
      <c r="M21" s="173">
        <v>12.872</v>
      </c>
    </row>
    <row r="22" spans="1:13">
      <c r="A22" s="168" t="s">
        <v>135</v>
      </c>
      <c r="B22" s="171">
        <v>691.54</v>
      </c>
      <c r="C22" s="171">
        <v>40.276000000000003</v>
      </c>
      <c r="D22" s="172">
        <v>3619.65</v>
      </c>
      <c r="E22" s="171">
        <v>3356.4</v>
      </c>
      <c r="F22" s="172">
        <v>773.3</v>
      </c>
      <c r="G22" s="172">
        <v>182.7</v>
      </c>
      <c r="H22" s="172">
        <v>277.73</v>
      </c>
      <c r="I22" s="168">
        <v>81.254000000000005</v>
      </c>
      <c r="J22" s="173">
        <v>806.01</v>
      </c>
      <c r="K22" s="173">
        <v>632.745</v>
      </c>
      <c r="L22" s="173">
        <v>347.86</v>
      </c>
      <c r="M22" s="173">
        <v>367.815</v>
      </c>
    </row>
    <row r="23" spans="1:13">
      <c r="A23" s="168"/>
      <c r="B23" s="168"/>
      <c r="C23" s="168"/>
      <c r="D23" s="168"/>
      <c r="F23" s="172"/>
      <c r="G23" s="172"/>
      <c r="H23" s="172"/>
      <c r="I23" s="168"/>
      <c r="J23" s="173"/>
      <c r="K23" s="173"/>
      <c r="L23" s="173"/>
      <c r="M23" s="173"/>
    </row>
    <row r="24" spans="1:13">
      <c r="A24" s="170" t="s">
        <v>12</v>
      </c>
      <c r="B24" s="168"/>
      <c r="C24" s="168"/>
      <c r="D24" s="168"/>
      <c r="F24" s="172"/>
      <c r="G24" s="172"/>
      <c r="H24" s="172"/>
      <c r="I24" s="168"/>
      <c r="J24" s="173"/>
      <c r="K24" s="173"/>
      <c r="L24" s="173"/>
      <c r="M24" s="173"/>
    </row>
    <row r="25" spans="1:13">
      <c r="A25" s="168" t="s">
        <v>136</v>
      </c>
      <c r="B25" s="171">
        <v>921.96</v>
      </c>
      <c r="C25" s="171">
        <v>891.76499999999999</v>
      </c>
      <c r="D25" s="172">
        <v>-135.19999999999999</v>
      </c>
      <c r="E25" s="171">
        <v>2849.1</v>
      </c>
      <c r="F25" s="172">
        <v>2314.5</v>
      </c>
      <c r="G25" s="172">
        <v>7066.9</v>
      </c>
      <c r="H25" s="172">
        <v>43.05</v>
      </c>
      <c r="I25" s="168">
        <v>379.20800000000003</v>
      </c>
      <c r="J25" s="173">
        <v>800.07</v>
      </c>
      <c r="K25" s="173">
        <v>689.83500000000004</v>
      </c>
      <c r="L25" s="173">
        <v>756.16</v>
      </c>
      <c r="M25" s="173">
        <v>276.13499999999999</v>
      </c>
    </row>
    <row r="26" spans="1:13">
      <c r="A26" s="168" t="s">
        <v>20</v>
      </c>
      <c r="B26" s="171">
        <v>546.99</v>
      </c>
      <c r="C26" s="171">
        <v>669.54600000000005</v>
      </c>
      <c r="D26" s="183">
        <v>-1726.02</v>
      </c>
      <c r="E26" s="183">
        <v>-528.49000000000024</v>
      </c>
      <c r="F26" s="171">
        <v>-3594.5</v>
      </c>
      <c r="G26" s="171">
        <v>-1679.8999999999996</v>
      </c>
      <c r="H26" s="171">
        <v>-206.2</v>
      </c>
      <c r="I26" s="171">
        <v>468.24100000000004</v>
      </c>
      <c r="J26" s="171">
        <v>216.29000000000008</v>
      </c>
      <c r="K26" s="171">
        <v>426.33100000000002</v>
      </c>
      <c r="L26" s="171">
        <v>359.77</v>
      </c>
      <c r="M26" s="171">
        <v>276.13499999999999</v>
      </c>
    </row>
    <row r="27" spans="1:13">
      <c r="A27" s="168" t="s">
        <v>221</v>
      </c>
      <c r="B27" s="168">
        <v>-374.97</v>
      </c>
      <c r="C27" s="168">
        <v>-222.21899999999999</v>
      </c>
      <c r="D27" s="184">
        <v>-1590.82</v>
      </c>
      <c r="E27" s="168">
        <v>-3377.59</v>
      </c>
      <c r="F27" s="172">
        <v>-5909</v>
      </c>
      <c r="G27" s="172">
        <v>-8746.7999999999993</v>
      </c>
      <c r="H27" s="172">
        <v>-249.25</v>
      </c>
      <c r="I27" s="168">
        <v>89.033000000000001</v>
      </c>
      <c r="J27" s="173">
        <v>-583.78</v>
      </c>
      <c r="K27" s="173">
        <v>-263.50400000000002</v>
      </c>
      <c r="L27" s="173">
        <v>-396.39</v>
      </c>
      <c r="M27" s="185"/>
    </row>
    <row r="28" spans="1:13">
      <c r="A28" s="168"/>
      <c r="B28" s="168"/>
      <c r="C28" s="168"/>
      <c r="D28" s="168"/>
      <c r="F28" s="172"/>
      <c r="G28" s="172"/>
      <c r="H28" s="172"/>
      <c r="I28" s="168"/>
      <c r="J28" s="173"/>
      <c r="K28" s="173"/>
      <c r="L28" s="173"/>
      <c r="M28" s="173"/>
    </row>
    <row r="29" spans="1:13">
      <c r="A29" s="168" t="s">
        <v>222</v>
      </c>
      <c r="B29" s="171">
        <v>51.834211000000003</v>
      </c>
      <c r="C29" s="171">
        <v>51.834211000000003</v>
      </c>
      <c r="D29" s="172">
        <v>122.48166500000001</v>
      </c>
      <c r="E29" s="172">
        <v>125.623465</v>
      </c>
      <c r="F29" s="172">
        <v>29.587050999999999</v>
      </c>
      <c r="G29" s="172">
        <v>29.513755</v>
      </c>
      <c r="H29" s="172">
        <v>8.033099</v>
      </c>
      <c r="I29" s="172">
        <v>8.033099</v>
      </c>
      <c r="J29" s="173">
        <v>30.836407000000001</v>
      </c>
      <c r="K29" s="173">
        <v>31.625879999999999</v>
      </c>
      <c r="L29" s="173">
        <v>43.644179999999999</v>
      </c>
      <c r="M29" s="173">
        <v>43.644179999999999</v>
      </c>
    </row>
    <row r="30" spans="1:13">
      <c r="A30" s="168" t="s">
        <v>60</v>
      </c>
      <c r="B30" s="183">
        <v>25380.621416149999</v>
      </c>
      <c r="C30" s="183">
        <v>14705.365660700001</v>
      </c>
      <c r="D30" s="183">
        <v>12346.151832</v>
      </c>
      <c r="E30" s="183">
        <v>7253.4988690999999</v>
      </c>
      <c r="F30" s="183">
        <v>304397.49809820001</v>
      </c>
      <c r="G30" s="183">
        <v>205442.29717949999</v>
      </c>
      <c r="H30" s="183">
        <v>2797.1250718000001</v>
      </c>
      <c r="I30" s="183">
        <v>1647.1869499500001</v>
      </c>
      <c r="J30" s="183">
        <v>8621.8593972000017</v>
      </c>
      <c r="K30" s="183">
        <v>4675.8863579999997</v>
      </c>
      <c r="L30" s="171">
        <v>9654.0926159999999</v>
      </c>
      <c r="M30" s="171">
        <v>5123.8267320000004</v>
      </c>
    </row>
    <row r="31" spans="1:13">
      <c r="A31" s="168" t="s">
        <v>223</v>
      </c>
      <c r="B31" s="183">
        <v>26153.07141615</v>
      </c>
      <c r="C31" s="183">
        <v>14171.919660700001</v>
      </c>
      <c r="D31" s="183">
        <v>17951.681831999998</v>
      </c>
      <c r="E31" s="183">
        <v>14041.4388691</v>
      </c>
      <c r="F31" s="183">
        <v>305092.09809819999</v>
      </c>
      <c r="G31" s="183">
        <v>205391.79717949999</v>
      </c>
      <c r="H31" s="171">
        <v>3279.8950718000001</v>
      </c>
      <c r="I31" s="171">
        <v>1876.0559499500002</v>
      </c>
      <c r="J31" s="171">
        <v>9370.169397200003</v>
      </c>
      <c r="K31" s="171">
        <v>5275.2733580000004</v>
      </c>
      <c r="L31" s="171">
        <v>9738.3126160000011</v>
      </c>
      <c r="M31" s="171">
        <v>5293.1467320000002</v>
      </c>
    </row>
    <row r="32" spans="1:13">
      <c r="A32" s="168" t="s">
        <v>224</v>
      </c>
      <c r="B32" s="186">
        <v>186.17</v>
      </c>
      <c r="C32" s="186">
        <v>985.25900000000001</v>
      </c>
      <c r="D32" s="186">
        <v>151.47999999999999</v>
      </c>
      <c r="E32" s="186">
        <v>186.76</v>
      </c>
      <c r="F32" s="172">
        <v>689.2</v>
      </c>
      <c r="G32" s="172">
        <v>520.29999999999995</v>
      </c>
      <c r="H32" s="172">
        <v>19.96</v>
      </c>
      <c r="I32" s="168">
        <v>17.385000000000002</v>
      </c>
      <c r="J32" s="173">
        <v>134.38</v>
      </c>
      <c r="K32" s="173">
        <v>51.963000000000001</v>
      </c>
      <c r="L32" s="173">
        <v>263.64</v>
      </c>
      <c r="M32" s="173">
        <v>211.36699999999999</v>
      </c>
    </row>
    <row r="33" spans="1:13">
      <c r="A33" s="168"/>
      <c r="B33" s="168"/>
      <c r="C33" s="168"/>
      <c r="D33" s="168"/>
      <c r="F33" s="172"/>
      <c r="G33" s="172"/>
      <c r="H33" s="172"/>
      <c r="I33" s="168"/>
      <c r="J33" s="173"/>
      <c r="K33" s="173"/>
      <c r="L33" s="173"/>
      <c r="M33" s="173"/>
    </row>
    <row r="34" spans="1:13">
      <c r="A34" s="168" t="s">
        <v>225</v>
      </c>
      <c r="B34" s="186">
        <v>6.5338937816920204</v>
      </c>
      <c r="C34" s="186">
        <v>13.725205611998064</v>
      </c>
      <c r="D34" s="186">
        <v>11.467576791808874</v>
      </c>
      <c r="E34" s="186">
        <v>19.246666666666666</v>
      </c>
      <c r="F34" s="186">
        <v>50.375556970082755</v>
      </c>
      <c r="G34" s="186">
        <v>39.970714900947456</v>
      </c>
      <c r="H34" s="186">
        <v>17.856410256410257</v>
      </c>
      <c r="I34" s="186">
        <v>-175.25641025641028</v>
      </c>
      <c r="J34" s="186">
        <v>15.81447963800905</v>
      </c>
      <c r="K34" s="186">
        <v>12.561597281223449</v>
      </c>
      <c r="L34" s="186">
        <v>13.679653679653677</v>
      </c>
      <c r="M34" s="186">
        <v>34.73372781065089</v>
      </c>
    </row>
    <row r="35" spans="1:13">
      <c r="A35" s="168" t="s">
        <v>49</v>
      </c>
      <c r="B35" s="178">
        <v>0</v>
      </c>
      <c r="C35" s="178">
        <v>0</v>
      </c>
      <c r="D35" s="178">
        <v>7.9365079365079378E-3</v>
      </c>
      <c r="E35" s="178">
        <v>1.3855213023900243E-2</v>
      </c>
      <c r="F35" s="178">
        <v>2.4299683132131956E-3</v>
      </c>
      <c r="G35" s="178">
        <v>3.5914896062290797E-3</v>
      </c>
      <c r="H35" s="178">
        <v>1.4359563469270534E-3</v>
      </c>
      <c r="I35" s="178">
        <v>2.4384296513045595E-3</v>
      </c>
      <c r="J35" s="178">
        <v>3.5765379113018594E-3</v>
      </c>
      <c r="K35" s="178">
        <v>1.0145417653026716E-2</v>
      </c>
      <c r="L35" s="178">
        <v>1.5822784810126583E-2</v>
      </c>
      <c r="M35" s="178">
        <v>8.5178875638841564E-3</v>
      </c>
    </row>
    <row r="36" spans="1:13">
      <c r="A36" s="168" t="s">
        <v>226</v>
      </c>
      <c r="B36" s="187">
        <v>0</v>
      </c>
      <c r="C36" s="187">
        <v>0</v>
      </c>
      <c r="D36" s="171">
        <v>0.8</v>
      </c>
      <c r="E36" s="171">
        <v>0.8</v>
      </c>
      <c r="F36" s="171">
        <v>25</v>
      </c>
      <c r="G36" s="171">
        <v>25</v>
      </c>
      <c r="H36" s="171">
        <v>0.5</v>
      </c>
      <c r="I36" s="171">
        <v>0.5</v>
      </c>
      <c r="J36" s="173">
        <v>1</v>
      </c>
      <c r="K36" s="173">
        <v>1.5</v>
      </c>
      <c r="L36" s="173">
        <v>3.5</v>
      </c>
      <c r="M36" s="173">
        <v>1</v>
      </c>
    </row>
    <row r="37" spans="1:13">
      <c r="A37" s="168" t="s">
        <v>227</v>
      </c>
      <c r="B37" s="171">
        <v>0.9865593870945798</v>
      </c>
      <c r="C37" s="171">
        <v>0.54885830274315961</v>
      </c>
      <c r="D37" s="171">
        <v>1.1693657440478726</v>
      </c>
      <c r="E37" s="171">
        <v>0.67305362059014562</v>
      </c>
      <c r="F37" s="171">
        <v>6.8728888519697637</v>
      </c>
      <c r="G37" s="188">
        <v>4.3978930675624763</v>
      </c>
      <c r="H37" s="171">
        <v>0.99997321314171317</v>
      </c>
      <c r="I37" s="171">
        <v>0.59173700902089954</v>
      </c>
      <c r="J37" s="171">
        <v>2.1798409203922873</v>
      </c>
      <c r="K37" s="171">
        <v>1.0684882803913009</v>
      </c>
      <c r="L37" s="171">
        <v>1.9040438584623027</v>
      </c>
      <c r="M37" s="171">
        <v>1.0119280274438474</v>
      </c>
    </row>
    <row r="38" spans="1:13">
      <c r="A38" s="168" t="s">
        <v>141</v>
      </c>
      <c r="B38" s="186">
        <v>21.562785614529052</v>
      </c>
      <c r="C38" s="186">
        <v>-37.892833317379683</v>
      </c>
      <c r="D38" s="186">
        <v>8.1752396928765947</v>
      </c>
      <c r="E38" s="186">
        <v>9.6870913205243188</v>
      </c>
      <c r="F38" s="186">
        <v>33.473634918173438</v>
      </c>
      <c r="G38" s="186">
        <v>26.41746106735178</v>
      </c>
      <c r="H38" s="186">
        <v>10.448853366677287</v>
      </c>
      <c r="I38" s="186">
        <v>1.2164803202891974</v>
      </c>
      <c r="J38" s="186">
        <v>11.761964974832114</v>
      </c>
      <c r="K38" s="186">
        <v>0.77142601245331477</v>
      </c>
      <c r="L38" s="186">
        <v>8.3661042043951142</v>
      </c>
      <c r="M38" s="186">
        <v>9.715137118577184</v>
      </c>
    </row>
    <row r="39" spans="1:13">
      <c r="A39" s="168"/>
      <c r="B39" s="168"/>
      <c r="C39" s="168"/>
      <c r="D39" s="168"/>
      <c r="F39" s="172"/>
      <c r="G39" s="172"/>
      <c r="H39" s="172"/>
      <c r="I39" s="168"/>
      <c r="J39" s="173"/>
      <c r="K39" s="173"/>
      <c r="L39" s="173"/>
      <c r="M39" s="173"/>
    </row>
    <row r="40" spans="1:13">
      <c r="A40" s="170" t="s">
        <v>228</v>
      </c>
      <c r="B40" s="168"/>
      <c r="C40" s="168"/>
      <c r="D40" s="168"/>
      <c r="F40" s="172"/>
      <c r="G40" s="172"/>
      <c r="H40" s="172"/>
      <c r="I40" s="168"/>
      <c r="J40" s="173"/>
      <c r="K40" s="173"/>
      <c r="L40" s="173"/>
      <c r="M40" s="173"/>
    </row>
    <row r="41" spans="1:13">
      <c r="A41" s="168" t="s">
        <v>261</v>
      </c>
      <c r="B41" s="184">
        <v>489.65</v>
      </c>
      <c r="C41" s="184">
        <v>283.7</v>
      </c>
      <c r="D41" s="184">
        <v>100.8</v>
      </c>
      <c r="E41" s="184">
        <v>57.74</v>
      </c>
      <c r="F41" s="184">
        <v>10288.200000000001</v>
      </c>
      <c r="G41" s="184">
        <v>6960.9</v>
      </c>
      <c r="H41" s="184">
        <v>348.2</v>
      </c>
      <c r="I41" s="168">
        <v>205.05</v>
      </c>
      <c r="J41" s="184">
        <v>279.60000000000002</v>
      </c>
      <c r="K41" s="184">
        <v>147.85</v>
      </c>
      <c r="L41" s="184">
        <v>221.2</v>
      </c>
      <c r="M41" s="184">
        <v>117.4</v>
      </c>
    </row>
    <row r="42" spans="1:13">
      <c r="A42" s="168" t="s">
        <v>229</v>
      </c>
      <c r="B42" s="184">
        <v>25726.400000000001</v>
      </c>
      <c r="C42" s="184">
        <v>26792.645</v>
      </c>
      <c r="D42" s="184">
        <v>10557.99</v>
      </c>
      <c r="E42" s="184">
        <v>10777</v>
      </c>
      <c r="F42" s="184">
        <v>44289.599999999999</v>
      </c>
      <c r="G42" s="184">
        <v>46713.8</v>
      </c>
      <c r="H42" s="184">
        <v>2797.2</v>
      </c>
      <c r="I42" s="184">
        <v>2783.6469999999999</v>
      </c>
      <c r="J42" s="184">
        <v>3955.27</v>
      </c>
      <c r="K42" s="184">
        <v>4376.17</v>
      </c>
      <c r="L42" s="184">
        <v>5070.3100000000004</v>
      </c>
      <c r="M42" s="184">
        <v>5063.43</v>
      </c>
    </row>
    <row r="43" spans="1:13">
      <c r="A43" s="168" t="s">
        <v>230</v>
      </c>
      <c r="B43" s="186">
        <v>496.3208565092271</v>
      </c>
      <c r="C43" s="186">
        <v>516.89115129002346</v>
      </c>
      <c r="D43" s="186">
        <v>86.200575408572377</v>
      </c>
      <c r="E43" s="186">
        <v>85.788112913459287</v>
      </c>
      <c r="F43" s="186">
        <v>1496.9251244404181</v>
      </c>
      <c r="G43" s="186">
        <v>1582.7806390613462</v>
      </c>
      <c r="H43" s="186">
        <v>348.20932743390813</v>
      </c>
      <c r="I43" s="186">
        <v>346.52218278400403</v>
      </c>
      <c r="J43" s="186">
        <v>128.26624061616516</v>
      </c>
      <c r="K43" s="186">
        <v>138.37306661506338</v>
      </c>
      <c r="L43" s="186">
        <v>116.17379453572048</v>
      </c>
      <c r="M43" s="186">
        <v>116.01615610603751</v>
      </c>
    </row>
    <row r="44" spans="1:13">
      <c r="A44" s="168" t="s">
        <v>144</v>
      </c>
      <c r="B44" s="178">
        <v>2.0569142981528701E-2</v>
      </c>
      <c r="C44" s="178">
        <v>-3.9189859754421408E-2</v>
      </c>
      <c r="D44" s="178">
        <v>9.344865831469816E-2</v>
      </c>
      <c r="E44" s="178">
        <v>3.5288113575206462E-2</v>
      </c>
      <c r="F44" s="178">
        <v>0.13654221307033704</v>
      </c>
      <c r="G44" s="178">
        <v>1.0845403285538747E-2</v>
      </c>
      <c r="H44" s="178">
        <v>5.6896181896181904E-2</v>
      </c>
      <c r="I44" s="178">
        <v>-3.3844090145050717E-3</v>
      </c>
      <c r="J44" s="178">
        <v>0.14043794734619888</v>
      </c>
      <c r="K44" s="178">
        <v>8.5081475354019609E-2</v>
      </c>
      <c r="L44" s="178">
        <v>0.13923606248927581</v>
      </c>
      <c r="M44" s="178">
        <v>2.905184825306166E-2</v>
      </c>
    </row>
    <row r="45" spans="1:13">
      <c r="A45" s="168" t="s">
        <v>145</v>
      </c>
      <c r="B45" s="178">
        <v>2.6487651658871913E-2</v>
      </c>
      <c r="C45" s="178">
        <v>-3.1614448792194341E-2</v>
      </c>
      <c r="D45" s="178">
        <v>0.13090502614028873</v>
      </c>
      <c r="E45" s="178">
        <v>6.1257452285367518E-2</v>
      </c>
      <c r="F45" s="178">
        <v>0.15710125467187808</v>
      </c>
      <c r="G45" s="178">
        <v>0.11879292007106979</v>
      </c>
      <c r="H45" s="178">
        <v>5.9852086799886364E-2</v>
      </c>
      <c r="I45" s="178">
        <v>0.45125945513040483</v>
      </c>
      <c r="J45" s="178">
        <v>0.15123079266463266</v>
      </c>
      <c r="K45" s="178">
        <v>1.3993093464534652</v>
      </c>
      <c r="L45" s="178">
        <v>0.15979950695448877</v>
      </c>
      <c r="M45" s="178">
        <v>3.6608792128614849E-2</v>
      </c>
    </row>
    <row r="46" spans="1:13">
      <c r="A46" s="168" t="s">
        <v>231</v>
      </c>
      <c r="B46" s="189">
        <v>711.23000000000013</v>
      </c>
      <c r="C46" s="189">
        <v>-863</v>
      </c>
      <c r="D46" s="190">
        <v>1729.69</v>
      </c>
      <c r="E46" s="190">
        <v>918.58</v>
      </c>
      <c r="F46" s="190">
        <v>7347.5</v>
      </c>
      <c r="G46" s="190">
        <v>5796.75</v>
      </c>
      <c r="H46" s="190">
        <v>191.71999999999997</v>
      </c>
      <c r="I46" s="190">
        <v>1413.7160000000001</v>
      </c>
      <c r="J46" s="190">
        <v>655.28</v>
      </c>
      <c r="K46" s="190">
        <v>6653.1940000000004</v>
      </c>
      <c r="L46" s="190">
        <v>878.32999999999993</v>
      </c>
      <c r="M46" s="190">
        <v>200.48600000000005</v>
      </c>
    </row>
    <row r="47" spans="1:13">
      <c r="A47" s="168" t="s">
        <v>232</v>
      </c>
      <c r="B47" s="187">
        <v>501.65</v>
      </c>
      <c r="C47" s="191">
        <v>489</v>
      </c>
      <c r="D47" s="184">
        <v>466.17</v>
      </c>
      <c r="E47" s="160">
        <v>530.91999999999996</v>
      </c>
      <c r="F47" s="192">
        <v>1766.9</v>
      </c>
      <c r="G47" s="192">
        <v>1978.1</v>
      </c>
      <c r="H47" s="192">
        <v>122.18</v>
      </c>
      <c r="I47" s="168">
        <v>128.48400000000001</v>
      </c>
      <c r="J47" s="193">
        <v>141.37</v>
      </c>
      <c r="K47" s="193">
        <v>185.14599999999999</v>
      </c>
      <c r="L47" s="193">
        <v>285.69</v>
      </c>
      <c r="M47" s="193">
        <v>344.34899999999999</v>
      </c>
    </row>
    <row r="48" spans="1:13">
      <c r="A48" s="168" t="s">
        <v>31</v>
      </c>
      <c r="B48" s="189">
        <v>26851.38</v>
      </c>
      <c r="C48" s="189">
        <v>27297.645</v>
      </c>
      <c r="D48" s="189">
        <v>13213.32</v>
      </c>
      <c r="E48" s="189">
        <v>14995.4</v>
      </c>
      <c r="F48" s="189">
        <v>46769.2</v>
      </c>
      <c r="G48" s="189">
        <v>48797.100000000006</v>
      </c>
      <c r="H48" s="190">
        <v>3203.2299999999996</v>
      </c>
      <c r="I48" s="190">
        <v>3132.8229999999999</v>
      </c>
      <c r="J48" s="190">
        <v>4332.9799999999996</v>
      </c>
      <c r="K48" s="190">
        <v>4754.6270000000004</v>
      </c>
      <c r="L48" s="190">
        <v>5496.4500000000007</v>
      </c>
      <c r="M48" s="190">
        <v>5476.4440000000004</v>
      </c>
    </row>
    <row r="49" spans="1:13">
      <c r="A49" s="168" t="s">
        <v>233</v>
      </c>
      <c r="B49" s="187">
        <v>1124.98</v>
      </c>
      <c r="C49" s="187">
        <v>505</v>
      </c>
      <c r="D49" s="186">
        <v>2655.33</v>
      </c>
      <c r="E49" s="186">
        <v>4218.3999999999996</v>
      </c>
      <c r="F49" s="192">
        <v>2479.6</v>
      </c>
      <c r="G49" s="192">
        <v>2083.3000000000002</v>
      </c>
      <c r="H49" s="194">
        <v>406.03</v>
      </c>
      <c r="I49" s="168">
        <v>349.17599999999999</v>
      </c>
      <c r="J49" s="193">
        <v>377.71</v>
      </c>
      <c r="K49" s="193">
        <v>378.45699999999999</v>
      </c>
      <c r="L49" s="193">
        <v>426.14</v>
      </c>
      <c r="M49" s="193">
        <v>413.01400000000001</v>
      </c>
    </row>
    <row r="50" spans="1:13">
      <c r="A50" s="168" t="s">
        <v>153</v>
      </c>
      <c r="B50" s="186">
        <v>2.4701942276275188</v>
      </c>
      <c r="C50" s="186">
        <v>1.6277178073637049</v>
      </c>
      <c r="D50" s="186">
        <v>2.3545538782685376</v>
      </c>
      <c r="E50" s="186">
        <v>1.3740290118176899</v>
      </c>
      <c r="F50" s="186">
        <v>1.8429521242831699</v>
      </c>
      <c r="G50" s="186">
        <v>1.5985721144075657</v>
      </c>
      <c r="H50" s="186">
        <v>1.5407978156686883</v>
      </c>
      <c r="I50" s="186">
        <v>1.3796832667975945</v>
      </c>
      <c r="J50" s="186">
        <v>1.9104973207100282</v>
      </c>
      <c r="K50" s="186">
        <v>2.1781172055333489</v>
      </c>
      <c r="L50" s="186">
        <v>1.5205886146212926</v>
      </c>
      <c r="M50" s="186">
        <v>1.3506137515465655</v>
      </c>
    </row>
    <row r="51" spans="1:13">
      <c r="A51" s="168" t="s">
        <v>234</v>
      </c>
      <c r="B51" s="186">
        <v>5430.36</v>
      </c>
      <c r="C51" s="186">
        <v>5081</v>
      </c>
      <c r="D51" s="168">
        <v>8011.16</v>
      </c>
      <c r="E51" s="160">
        <v>9520.7999999999993</v>
      </c>
      <c r="F51" s="172">
        <v>15759.5</v>
      </c>
      <c r="G51" s="172">
        <v>17137.7</v>
      </c>
      <c r="H51" s="172">
        <v>2308.35</v>
      </c>
      <c r="I51" s="168">
        <v>2251.299</v>
      </c>
      <c r="J51" s="173">
        <v>1898.43</v>
      </c>
      <c r="K51" s="173">
        <v>3077.0889999999999</v>
      </c>
      <c r="L51" s="173">
        <v>3915.92</v>
      </c>
      <c r="M51" s="173">
        <v>3628.9229999999998</v>
      </c>
    </row>
    <row r="52" spans="1:13">
      <c r="A52" s="168" t="s">
        <v>235</v>
      </c>
      <c r="B52" s="186">
        <v>629.24</v>
      </c>
      <c r="C52" s="186">
        <v>725.01</v>
      </c>
      <c r="D52" s="168">
        <v>695.29</v>
      </c>
      <c r="E52" s="160">
        <v>1934.7</v>
      </c>
      <c r="F52" s="172">
        <v>4204.7</v>
      </c>
      <c r="G52" s="172">
        <v>10328.5</v>
      </c>
      <c r="H52" s="172">
        <v>160.1</v>
      </c>
      <c r="I52" s="168">
        <v>174.42699999999999</v>
      </c>
      <c r="J52" s="173">
        <v>1098.46</v>
      </c>
      <c r="K52" s="173">
        <v>0.15</v>
      </c>
      <c r="L52" s="173">
        <v>0.1</v>
      </c>
      <c r="M52" s="173">
        <v>84.143000000000001</v>
      </c>
    </row>
    <row r="53" spans="1:13">
      <c r="A53" s="168" t="s">
        <v>236</v>
      </c>
      <c r="B53" s="186">
        <v>0.3</v>
      </c>
      <c r="C53" s="186">
        <v>0.27900000000000003</v>
      </c>
      <c r="D53" s="172">
        <v>2.72</v>
      </c>
      <c r="E53" s="160">
        <v>1.9</v>
      </c>
      <c r="F53" s="172">
        <v>7605.1</v>
      </c>
      <c r="G53" s="172">
        <v>6486.1</v>
      </c>
      <c r="H53" s="172">
        <v>0.04</v>
      </c>
      <c r="I53" s="168">
        <v>3.7999999999999999E-2</v>
      </c>
      <c r="J53" s="173">
        <v>59.89</v>
      </c>
      <c r="K53" s="173">
        <v>63.21</v>
      </c>
      <c r="L53" s="173">
        <v>38.35</v>
      </c>
      <c r="M53" s="185"/>
    </row>
    <row r="54" spans="1:13">
      <c r="A54" s="168" t="s">
        <v>149</v>
      </c>
      <c r="B54" s="186">
        <v>3.7262112071646238E-2</v>
      </c>
      <c r="C54" s="186">
        <v>1.6863322004975617E-2</v>
      </c>
      <c r="D54" s="186">
        <v>0.54527518969046196</v>
      </c>
      <c r="E54" s="186">
        <v>0.64718381738888375</v>
      </c>
      <c r="F54" s="186">
        <v>3.1244355333983599E-2</v>
      </c>
      <c r="G54" s="186">
        <v>1.0056985301987849E-2</v>
      </c>
      <c r="H54" s="186">
        <v>0.17972615472615475</v>
      </c>
      <c r="I54" s="186">
        <v>8.8464521543141078E-2</v>
      </c>
      <c r="J54" s="186">
        <v>0.2231680770212906</v>
      </c>
      <c r="K54" s="186">
        <v>0.14884019587904493</v>
      </c>
      <c r="L54" s="186">
        <v>6.8607244921908131E-2</v>
      </c>
      <c r="M54" s="186">
        <v>7.5183620589205344E-2</v>
      </c>
    </row>
    <row r="55" spans="1:13">
      <c r="A55" s="168" t="s">
        <v>237</v>
      </c>
      <c r="B55" s="186">
        <v>3.0025576839355677E-2</v>
      </c>
      <c r="C55" s="186">
        <v>-1.9910165644340078E-2</v>
      </c>
      <c r="D55" s="186">
        <v>0.5309277618183007</v>
      </c>
      <c r="E55" s="186">
        <v>0.62985431938387315</v>
      </c>
      <c r="F55" s="186">
        <v>1.5683140059968931E-2</v>
      </c>
      <c r="G55" s="186">
        <v>-1.0810509956372622E-3</v>
      </c>
      <c r="H55" s="186">
        <v>0.17259044759044762</v>
      </c>
      <c r="I55" s="186">
        <v>8.2219117582078491E-2</v>
      </c>
      <c r="J55" s="186">
        <v>0.18919315242701512</v>
      </c>
      <c r="K55" s="186">
        <v>0.13696611420488694</v>
      </c>
      <c r="L55" s="186">
        <v>1.6610424214692991E-2</v>
      </c>
      <c r="M55" s="186">
        <v>3.3439782913953588E-2</v>
      </c>
    </row>
    <row r="56" spans="1:13">
      <c r="A56" s="168" t="s">
        <v>150</v>
      </c>
      <c r="B56" s="186">
        <v>14.873065662902555</v>
      </c>
      <c r="C56" s="186">
        <v>-13.676270165763368</v>
      </c>
      <c r="D56" s="186">
        <v>5.8679309291990371</v>
      </c>
      <c r="E56" s="186">
        <v>2.2390737355271177</v>
      </c>
      <c r="F56" s="186">
        <v>80.125408942202839</v>
      </c>
      <c r="G56" s="186">
        <v>73.37658227848101</v>
      </c>
      <c r="H56" s="186">
        <v>8.6947845804988653</v>
      </c>
      <c r="I56" s="186">
        <v>43.972503888024889</v>
      </c>
      <c r="J56" s="186">
        <v>33.432653061224485</v>
      </c>
      <c r="K56" s="186">
        <v>300.62780714834395</v>
      </c>
      <c r="L56" s="186">
        <v>47.683496199782837</v>
      </c>
      <c r="M56" s="186">
        <v>5.6896444078667319</v>
      </c>
    </row>
    <row r="57" spans="1:13">
      <c r="A57" s="168" t="s">
        <v>231</v>
      </c>
      <c r="B57" s="186">
        <v>711.23000000000013</v>
      </c>
      <c r="C57" s="186">
        <v>-863</v>
      </c>
      <c r="D57" s="186">
        <v>1729.69</v>
      </c>
      <c r="E57" s="186">
        <v>918.58</v>
      </c>
      <c r="F57" s="186">
        <v>7347.5</v>
      </c>
      <c r="G57" s="186">
        <v>5796.75</v>
      </c>
      <c r="H57" s="186">
        <v>191.71999999999997</v>
      </c>
      <c r="I57" s="186">
        <v>1413.7160000000001</v>
      </c>
      <c r="J57" s="186">
        <v>655.28</v>
      </c>
      <c r="K57" s="186">
        <v>6653.1940000000004</v>
      </c>
      <c r="L57" s="186">
        <v>878.32999999999993</v>
      </c>
      <c r="M57" s="186">
        <v>200.48600000000005</v>
      </c>
    </row>
    <row r="58" spans="1:13">
      <c r="A58" s="168" t="s">
        <v>92</v>
      </c>
      <c r="B58" s="186">
        <v>47.82</v>
      </c>
      <c r="C58" s="186">
        <v>63.101999999999997</v>
      </c>
      <c r="D58" s="172">
        <v>294.77</v>
      </c>
      <c r="E58" s="160">
        <v>410.25</v>
      </c>
      <c r="F58" s="172">
        <v>91.7</v>
      </c>
      <c r="G58" s="172">
        <v>79</v>
      </c>
      <c r="H58" s="172">
        <v>22.05</v>
      </c>
      <c r="I58" s="168">
        <v>32.15</v>
      </c>
      <c r="J58" s="172">
        <v>19.600000000000001</v>
      </c>
      <c r="K58" s="172">
        <v>22.131</v>
      </c>
      <c r="L58" s="173">
        <v>18.420000000000002</v>
      </c>
      <c r="M58" s="173">
        <v>35.237000000000002</v>
      </c>
    </row>
    <row r="59" spans="1:13">
      <c r="A59" s="195" t="s">
        <v>151</v>
      </c>
      <c r="B59" s="196">
        <v>4.9884208549790331E-2</v>
      </c>
      <c r="C59" s="196">
        <v>0.13966397602547956</v>
      </c>
      <c r="D59" s="196">
        <v>5.1201925999781128E-2</v>
      </c>
      <c r="E59" s="196">
        <v>5.8819734182115356E-2</v>
      </c>
      <c r="F59" s="196">
        <v>6.6266801560919214E-2</v>
      </c>
      <c r="G59" s="196">
        <v>0.16815666240953597</v>
      </c>
      <c r="H59" s="196">
        <v>4.3860521552324311E-2</v>
      </c>
      <c r="I59" s="196">
        <v>0.13055625492377787</v>
      </c>
      <c r="J59" s="196">
        <v>2.2204851080220689E-2</v>
      </c>
      <c r="K59" s="196">
        <v>3.3977124433868119E-2</v>
      </c>
      <c r="L59" s="196">
        <v>5.2952337147128159E-2</v>
      </c>
      <c r="M59" s="196">
        <v>9.2561605728590679E-2</v>
      </c>
    </row>
    <row r="61" spans="1:13">
      <c r="A61" s="174" t="s">
        <v>238</v>
      </c>
    </row>
    <row r="62" spans="1:13">
      <c r="A62" s="160" t="s">
        <v>153</v>
      </c>
      <c r="B62" s="160" t="s">
        <v>239</v>
      </c>
      <c r="E62" s="197"/>
      <c r="F62" s="197"/>
    </row>
    <row r="63" spans="1:13">
      <c r="A63" s="160" t="s">
        <v>240</v>
      </c>
      <c r="B63" s="160" t="s">
        <v>241</v>
      </c>
    </row>
    <row r="64" spans="1:13">
      <c r="A64" s="160" t="s">
        <v>62</v>
      </c>
      <c r="B64" s="160" t="s">
        <v>242</v>
      </c>
    </row>
    <row r="65" spans="1:2">
      <c r="A65" s="160" t="s">
        <v>243</v>
      </c>
      <c r="B65" s="160" t="s">
        <v>244</v>
      </c>
    </row>
    <row r="66" spans="1:2">
      <c r="A66" s="160" t="s">
        <v>231</v>
      </c>
      <c r="B66" s="160" t="s">
        <v>245</v>
      </c>
    </row>
    <row r="67" spans="1:2">
      <c r="A67" s="160" t="s">
        <v>145</v>
      </c>
      <c r="B67" s="160" t="s">
        <v>246</v>
      </c>
    </row>
    <row r="68" spans="1:2">
      <c r="A68" s="160" t="s">
        <v>247</v>
      </c>
      <c r="B68" s="160" t="s">
        <v>248</v>
      </c>
    </row>
    <row r="69" spans="1:2">
      <c r="A69" s="160" t="s">
        <v>249</v>
      </c>
      <c r="B69" s="160" t="s">
        <v>250</v>
      </c>
    </row>
    <row r="70" spans="1:2">
      <c r="A70" s="160" t="s">
        <v>251</v>
      </c>
      <c r="B70" s="160" t="s">
        <v>252</v>
      </c>
    </row>
    <row r="71" spans="1:2">
      <c r="A71" s="160" t="s">
        <v>253</v>
      </c>
      <c r="B71" s="160" t="s">
        <v>254</v>
      </c>
    </row>
    <row r="72" spans="1:2">
      <c r="A72" s="160" t="s">
        <v>150</v>
      </c>
      <c r="B72" s="160" t="s">
        <v>255</v>
      </c>
    </row>
    <row r="73" spans="1:2">
      <c r="A73" s="160" t="s">
        <v>151</v>
      </c>
      <c r="B73" s="160" t="s">
        <v>256</v>
      </c>
    </row>
  </sheetData>
  <mergeCells count="6">
    <mergeCell ref="L2:M2"/>
    <mergeCell ref="B2:C2"/>
    <mergeCell ref="D2:E2"/>
    <mergeCell ref="F2:G2"/>
    <mergeCell ref="H2:I2"/>
    <mergeCell ref="J2:K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2"/>
  <sheetViews>
    <sheetView topLeftCell="A30" zoomScale="115" zoomScaleNormal="115" workbookViewId="0">
      <selection activeCell="G38" sqref="G38:G50"/>
    </sheetView>
  </sheetViews>
  <sheetFormatPr defaultRowHeight="15"/>
  <cols>
    <col min="1" max="1" width="26.140625" bestFit="1" customWidth="1"/>
    <col min="5" max="5" width="11.140625" bestFit="1" customWidth="1"/>
  </cols>
  <sheetData>
    <row r="1" spans="1:13" ht="18.75">
      <c r="A1" s="140" t="s">
        <v>121</v>
      </c>
      <c r="B1" s="141"/>
      <c r="C1" s="141"/>
      <c r="D1" s="141"/>
      <c r="E1" s="141"/>
      <c r="F1" s="141"/>
      <c r="G1" s="141"/>
    </row>
    <row r="2" spans="1:13" ht="15.75">
      <c r="A2" s="50" t="s">
        <v>156</v>
      </c>
      <c r="B2" s="51" t="s">
        <v>122</v>
      </c>
      <c r="C2" s="51" t="s">
        <v>123</v>
      </c>
      <c r="D2" s="51" t="s">
        <v>124</v>
      </c>
      <c r="E2" s="51" t="s">
        <v>125</v>
      </c>
      <c r="F2" s="51" t="s">
        <v>126</v>
      </c>
      <c r="G2" s="51" t="s">
        <v>127</v>
      </c>
      <c r="I2" s="51" t="s">
        <v>123</v>
      </c>
      <c r="J2" s="51" t="s">
        <v>124</v>
      </c>
      <c r="K2" s="51" t="s">
        <v>125</v>
      </c>
      <c r="L2" s="51" t="s">
        <v>126</v>
      </c>
      <c r="M2" s="51" t="s">
        <v>127</v>
      </c>
    </row>
    <row r="3" spans="1:13" ht="15.75">
      <c r="A3" s="142" t="s">
        <v>185</v>
      </c>
      <c r="B3" s="143"/>
      <c r="C3" s="143"/>
      <c r="D3" s="143"/>
      <c r="E3" s="143"/>
      <c r="F3" s="143"/>
      <c r="G3" s="143"/>
    </row>
    <row r="4" spans="1:13">
      <c r="A4" s="52" t="s">
        <v>74</v>
      </c>
      <c r="B4" s="54"/>
      <c r="C4" s="53"/>
      <c r="D4" s="53"/>
      <c r="E4" s="53"/>
      <c r="F4" s="53"/>
      <c r="G4" s="54"/>
    </row>
    <row r="5" spans="1:13">
      <c r="A5" s="54" t="s">
        <v>128</v>
      </c>
      <c r="B5" s="68">
        <f>'Summary sheet'!J4</f>
        <v>9570.2860000000001</v>
      </c>
      <c r="C5" s="55">
        <v>12264</v>
      </c>
      <c r="D5" s="55">
        <v>4020</v>
      </c>
      <c r="E5" s="55">
        <v>3549</v>
      </c>
      <c r="F5" s="55">
        <v>2465</v>
      </c>
      <c r="G5" s="55">
        <v>37315</v>
      </c>
      <c r="I5">
        <v>12344</v>
      </c>
      <c r="J5" s="64">
        <v>3472</v>
      </c>
      <c r="K5" s="64">
        <v>3059</v>
      </c>
      <c r="L5" s="64">
        <v>2483</v>
      </c>
      <c r="M5" s="64">
        <v>28339</v>
      </c>
    </row>
    <row r="6" spans="1:13">
      <c r="A6" s="54" t="s">
        <v>129</v>
      </c>
      <c r="B6" s="70">
        <f>'Summary sheet'!J8</f>
        <v>-5.5018030127749529E-2</v>
      </c>
      <c r="C6" s="69">
        <v>0.02</v>
      </c>
      <c r="D6" s="69">
        <f>+((D5/J5)^(1/3)-1)</f>
        <v>5.0063216566525348E-2</v>
      </c>
      <c r="E6" s="69">
        <f>+((E5/K5)^(1/3)-1)</f>
        <v>5.0772844879497958E-2</v>
      </c>
      <c r="F6" s="69">
        <f>+((F5/L5)^(1/3)-1)</f>
        <v>-2.4222945088782089E-3</v>
      </c>
      <c r="G6" s="69">
        <f>+((G5/M5)^(1/3)-1)</f>
        <v>9.6056583257357664E-2</v>
      </c>
    </row>
    <row r="7" spans="1:13">
      <c r="A7" s="54" t="s">
        <v>3</v>
      </c>
      <c r="B7" s="55">
        <f>'Summary sheet'!J16</f>
        <v>825.95300000000134</v>
      </c>
      <c r="C7" s="55">
        <v>846</v>
      </c>
      <c r="D7" s="55">
        <v>1035</v>
      </c>
      <c r="E7" s="55">
        <v>432</v>
      </c>
      <c r="F7" s="55">
        <v>239</v>
      </c>
      <c r="G7" s="55">
        <v>9171</v>
      </c>
      <c r="I7">
        <v>2261</v>
      </c>
      <c r="J7" s="64">
        <v>624</v>
      </c>
      <c r="K7" s="64">
        <v>519</v>
      </c>
      <c r="L7" s="64">
        <v>775</v>
      </c>
      <c r="M7" s="64">
        <v>5094</v>
      </c>
    </row>
    <row r="8" spans="1:13">
      <c r="A8" s="54" t="s">
        <v>129</v>
      </c>
      <c r="B8" s="70">
        <f>'Summary sheet'!J18</f>
        <v>-0.23001790945873102</v>
      </c>
      <c r="C8" s="69">
        <f>+((C7/I7)^(1/3)-1)</f>
        <v>-0.27940717489856892</v>
      </c>
      <c r="D8" s="69">
        <f>+((D7/J7)^(1/3)-1)</f>
        <v>0.18372799854383248</v>
      </c>
      <c r="E8" s="69">
        <f>+((E7/K7)^(1/3)-1)</f>
        <v>-5.9326745260117719E-2</v>
      </c>
      <c r="F8" s="69">
        <f>+((F7/L7)^(1/3)-1)</f>
        <v>-0.3243858562281875</v>
      </c>
      <c r="G8" s="69">
        <f>+((G7/M7)^(1/3)-1)</f>
        <v>0.21651999346150896</v>
      </c>
    </row>
    <row r="9" spans="1:13">
      <c r="A9" s="54" t="s">
        <v>130</v>
      </c>
      <c r="B9" s="70">
        <f t="shared" ref="B9:G9" si="0">B7/B5</f>
        <v>8.6303899381899488E-2</v>
      </c>
      <c r="C9" s="56">
        <f t="shared" si="0"/>
        <v>6.8982387475538157E-2</v>
      </c>
      <c r="D9" s="56">
        <f t="shared" si="0"/>
        <v>0.2574626865671642</v>
      </c>
      <c r="E9" s="56">
        <f t="shared" si="0"/>
        <v>0.12172442941673711</v>
      </c>
      <c r="F9" s="56">
        <f t="shared" si="0"/>
        <v>9.6957403651115617E-2</v>
      </c>
      <c r="G9" s="56">
        <f t="shared" si="0"/>
        <v>0.24577247755594264</v>
      </c>
    </row>
    <row r="10" spans="1:13">
      <c r="A10" s="54" t="s">
        <v>9</v>
      </c>
      <c r="B10" s="55">
        <f>'Summary sheet'!J27</f>
        <v>217.73000000000133</v>
      </c>
      <c r="C10" s="55">
        <v>398</v>
      </c>
      <c r="D10" s="55">
        <v>627</v>
      </c>
      <c r="E10" s="55">
        <v>285</v>
      </c>
      <c r="F10" s="55">
        <v>125</v>
      </c>
      <c r="G10" s="55">
        <v>6600</v>
      </c>
      <c r="I10">
        <v>1329</v>
      </c>
      <c r="J10" s="64">
        <v>435</v>
      </c>
      <c r="K10" s="64">
        <v>302</v>
      </c>
      <c r="L10" s="64">
        <v>529</v>
      </c>
      <c r="M10" s="64">
        <v>3230</v>
      </c>
    </row>
    <row r="11" spans="1:13">
      <c r="A11" s="54" t="s">
        <v>129</v>
      </c>
      <c r="B11" s="70">
        <f>'Summary sheet'!H29</f>
        <v>1.8505335959970282E-2</v>
      </c>
      <c r="C11" s="69">
        <v>-0.3</v>
      </c>
      <c r="D11" s="69">
        <f>+((D10/J10)^(1/3)-1)</f>
        <v>0.12960366980289062</v>
      </c>
      <c r="E11" s="69">
        <f>+((E10/K10)^(1/3)-1)</f>
        <v>-1.9127318623169631E-2</v>
      </c>
      <c r="F11" s="69">
        <f>+((F10/L10)^(1/3)-1)</f>
        <v>-0.38176804785835528</v>
      </c>
      <c r="G11" s="69">
        <f>+((G10/M10)^(1/3)-1)</f>
        <v>0.26895767769500889</v>
      </c>
    </row>
    <row r="12" spans="1:13">
      <c r="A12" s="54" t="s">
        <v>131</v>
      </c>
      <c r="B12" s="70">
        <f t="shared" ref="B12:G12" si="1">B10/B5</f>
        <v>2.2750626261326078E-2</v>
      </c>
      <c r="C12" s="56">
        <f t="shared" si="1"/>
        <v>3.2452707110241355E-2</v>
      </c>
      <c r="D12" s="56">
        <f t="shared" si="1"/>
        <v>0.15597014925373134</v>
      </c>
      <c r="E12" s="56">
        <f t="shared" si="1"/>
        <v>8.0304311073541843E-2</v>
      </c>
      <c r="F12" s="56">
        <f t="shared" si="1"/>
        <v>5.0709939148073022E-2</v>
      </c>
      <c r="G12" s="56">
        <f t="shared" si="1"/>
        <v>0.17687257135200321</v>
      </c>
    </row>
    <row r="13" spans="1:13">
      <c r="A13" s="54" t="s">
        <v>11</v>
      </c>
      <c r="B13" s="54">
        <f>'Summary sheet'!J36</f>
        <v>48.69</v>
      </c>
      <c r="C13" s="54">
        <v>3.24</v>
      </c>
      <c r="D13" s="54">
        <v>14.36</v>
      </c>
      <c r="E13" s="54">
        <v>9.25</v>
      </c>
      <c r="F13" s="54">
        <v>15.24</v>
      </c>
      <c r="G13" s="54">
        <v>221.17</v>
      </c>
      <c r="I13">
        <v>12</v>
      </c>
      <c r="J13">
        <v>23.02</v>
      </c>
      <c r="K13">
        <v>10</v>
      </c>
      <c r="L13">
        <v>72.36</v>
      </c>
      <c r="M13">
        <v>109</v>
      </c>
    </row>
    <row r="14" spans="1:13">
      <c r="A14" s="54" t="s">
        <v>129</v>
      </c>
      <c r="B14" s="71">
        <f>'Summary sheet'!H38</f>
        <v>-2.2933756316049214E-3</v>
      </c>
      <c r="C14" s="69">
        <f>+((C13/I13)^(1/3)-1)</f>
        <v>-0.35366959299043488</v>
      </c>
      <c r="D14" s="69">
        <f>+((D13/J13)^(1/3)-1)</f>
        <v>-0.14555711013539285</v>
      </c>
      <c r="E14" s="69">
        <f>+((E13/K13)^(1/3)-1)</f>
        <v>-2.5652419812671079E-2</v>
      </c>
      <c r="F14" s="69">
        <f>+((F13/L13)^(1/3)-1)</f>
        <v>-0.40502944977971056</v>
      </c>
      <c r="G14" s="69">
        <f>+((G13/M13)^(1/3)-1)</f>
        <v>0.2659986425050227</v>
      </c>
    </row>
    <row r="15" spans="1:13">
      <c r="A15" s="54"/>
      <c r="B15" s="54"/>
      <c r="C15" s="54"/>
      <c r="D15" s="54"/>
      <c r="E15" s="54"/>
      <c r="F15" s="54"/>
      <c r="G15" s="54"/>
    </row>
    <row r="16" spans="1:13">
      <c r="A16" s="144" t="s">
        <v>132</v>
      </c>
      <c r="B16" s="145"/>
      <c r="C16" s="145"/>
      <c r="D16" s="145"/>
      <c r="E16" s="145"/>
      <c r="F16" s="145"/>
      <c r="G16" s="146"/>
    </row>
    <row r="17" spans="1:7">
      <c r="A17" s="54" t="s">
        <v>133</v>
      </c>
      <c r="B17" s="55">
        <f>'Summary sheet'!X6</f>
        <v>21844.440000000002</v>
      </c>
      <c r="C17" s="55">
        <v>9754.7000000000007</v>
      </c>
      <c r="D17" s="55">
        <v>4021.7</v>
      </c>
      <c r="E17" s="55">
        <v>2938</v>
      </c>
      <c r="F17" s="55">
        <v>2653.1</v>
      </c>
      <c r="G17" s="55">
        <v>153519</v>
      </c>
    </row>
    <row r="18" spans="1:7">
      <c r="A18" s="54" t="s">
        <v>63</v>
      </c>
      <c r="B18" s="68">
        <f t="shared" ref="B18:G18" si="2">B19+B20</f>
        <v>1485.03</v>
      </c>
      <c r="C18" s="55">
        <f t="shared" si="2"/>
        <v>1612.3</v>
      </c>
      <c r="D18" s="55">
        <f t="shared" si="2"/>
        <v>206.8</v>
      </c>
      <c r="E18" s="55">
        <f t="shared" si="2"/>
        <v>272.3</v>
      </c>
      <c r="F18" s="55">
        <f t="shared" si="2"/>
        <v>127.6</v>
      </c>
      <c r="G18" s="55">
        <f t="shared" si="2"/>
        <v>0</v>
      </c>
    </row>
    <row r="19" spans="1:7">
      <c r="A19" s="57" t="s">
        <v>134</v>
      </c>
      <c r="B19" s="55">
        <f>'Summary sheet'!X8</f>
        <v>951.53</v>
      </c>
      <c r="C19" s="55">
        <v>0</v>
      </c>
      <c r="D19" s="55">
        <v>0</v>
      </c>
      <c r="E19" s="55">
        <v>2.8</v>
      </c>
      <c r="F19" s="55">
        <v>0</v>
      </c>
      <c r="G19" s="55">
        <v>0</v>
      </c>
    </row>
    <row r="20" spans="1:7">
      <c r="A20" s="57" t="s">
        <v>135</v>
      </c>
      <c r="B20" s="55">
        <f>'Summary sheet'!X9</f>
        <v>533.5</v>
      </c>
      <c r="C20" s="55">
        <v>1612.3</v>
      </c>
      <c r="D20" s="55">
        <v>206.8</v>
      </c>
      <c r="E20" s="55">
        <v>269.5</v>
      </c>
      <c r="F20" s="55">
        <v>127.6</v>
      </c>
      <c r="G20" s="55">
        <v>0</v>
      </c>
    </row>
    <row r="21" spans="1:7">
      <c r="A21" s="54"/>
      <c r="B21" s="54"/>
      <c r="C21" s="54"/>
      <c r="D21" s="54"/>
      <c r="E21" s="54"/>
      <c r="F21" s="54"/>
      <c r="G21" s="54"/>
    </row>
    <row r="22" spans="1:7">
      <c r="A22" s="54"/>
      <c r="B22" s="54"/>
      <c r="C22" s="54"/>
      <c r="D22" s="54"/>
      <c r="E22" s="54"/>
      <c r="F22" s="54"/>
      <c r="G22" s="54"/>
    </row>
    <row r="23" spans="1:7">
      <c r="A23" s="139" t="s">
        <v>12</v>
      </c>
      <c r="B23" s="139"/>
      <c r="C23" s="139"/>
      <c r="D23" s="139"/>
      <c r="E23" s="139"/>
      <c r="F23" s="139"/>
      <c r="G23" s="54"/>
    </row>
    <row r="24" spans="1:7">
      <c r="A24" s="54" t="s">
        <v>136</v>
      </c>
      <c r="B24" s="82">
        <f>'Summary sheet'!J44</f>
        <v>722.12</v>
      </c>
      <c r="C24" s="58">
        <v>95.59</v>
      </c>
      <c r="D24" s="58">
        <v>729.18299999999999</v>
      </c>
      <c r="E24" s="54">
        <v>755.85699999999997</v>
      </c>
      <c r="F24" s="54">
        <v>263.24900000000002</v>
      </c>
      <c r="G24" s="54">
        <v>8813.7999999999993</v>
      </c>
    </row>
    <row r="25" spans="1:7">
      <c r="A25" s="54" t="s">
        <v>20</v>
      </c>
      <c r="B25" s="72">
        <f>'Summary sheet'!H58</f>
        <v>0</v>
      </c>
      <c r="C25" s="59">
        <f>C24-805.05</f>
        <v>-709.45999999999992</v>
      </c>
      <c r="D25" s="59">
        <f>D24-667.642</f>
        <v>61.54099999999994</v>
      </c>
      <c r="E25" s="59">
        <f>E24-428.973</f>
        <v>326.88399999999996</v>
      </c>
      <c r="F25" s="54">
        <f>F24-400.899</f>
        <v>-137.64999999999998</v>
      </c>
      <c r="G25" s="54">
        <f>G24-3739.9</f>
        <v>5073.8999999999996</v>
      </c>
    </row>
    <row r="26" spans="1:7">
      <c r="A26" s="54"/>
      <c r="B26" s="54"/>
      <c r="C26" s="54"/>
      <c r="D26" s="54"/>
      <c r="E26" s="54"/>
      <c r="F26" s="54"/>
      <c r="G26" s="54"/>
    </row>
    <row r="27" spans="1:7">
      <c r="A27" s="54" t="s">
        <v>152</v>
      </c>
      <c r="B27" s="55">
        <f>'Summary sheet'!J62</f>
        <v>13095.502727800002</v>
      </c>
      <c r="C27" s="55">
        <v>8991</v>
      </c>
      <c r="D27" s="55">
        <v>5084</v>
      </c>
      <c r="E27" s="55">
        <v>3225</v>
      </c>
      <c r="F27" s="55">
        <v>1249</v>
      </c>
      <c r="G27" s="55">
        <v>120221</v>
      </c>
    </row>
    <row r="28" spans="1:7">
      <c r="A28" s="54" t="s">
        <v>137</v>
      </c>
      <c r="B28" s="55">
        <f>'Summary sheet'!J65</f>
        <v>14475.861727800002</v>
      </c>
      <c r="C28" s="55">
        <v>6637.3</v>
      </c>
      <c r="D28" s="55">
        <v>3153.7</v>
      </c>
      <c r="E28" s="55">
        <v>2541.6</v>
      </c>
      <c r="F28" s="55">
        <v>1360.3</v>
      </c>
      <c r="G28" s="55">
        <v>594266.19999999995</v>
      </c>
    </row>
    <row r="29" spans="1:7">
      <c r="A29" s="54"/>
      <c r="B29" s="54"/>
      <c r="C29" s="54"/>
      <c r="D29" s="54"/>
      <c r="E29" s="147"/>
      <c r="F29" s="147"/>
      <c r="G29" s="54"/>
    </row>
    <row r="30" spans="1:7">
      <c r="A30" s="54"/>
      <c r="B30" s="54"/>
      <c r="C30" s="54"/>
      <c r="D30" s="54"/>
      <c r="E30" s="147"/>
      <c r="F30" s="147"/>
      <c r="G30" s="54"/>
    </row>
    <row r="31" spans="1:7">
      <c r="A31" s="139" t="s">
        <v>138</v>
      </c>
      <c r="B31" s="139"/>
      <c r="C31" s="139"/>
      <c r="D31" s="139"/>
      <c r="E31" s="139"/>
      <c r="F31" s="139"/>
      <c r="G31" s="54"/>
    </row>
    <row r="32" spans="1:7">
      <c r="A32" s="54" t="s">
        <v>139</v>
      </c>
      <c r="B32" s="73">
        <f>'Summary sheet'!X58</f>
        <v>8.5808174163072497</v>
      </c>
      <c r="C32" s="59">
        <v>27.49</v>
      </c>
      <c r="D32" s="59">
        <v>13.05</v>
      </c>
      <c r="E32" s="59">
        <v>16.97</v>
      </c>
      <c r="F32" s="59">
        <v>10.27</v>
      </c>
      <c r="G32" s="59">
        <v>0.88</v>
      </c>
    </row>
    <row r="33" spans="1:7">
      <c r="A33" s="54" t="s">
        <v>49</v>
      </c>
      <c r="B33" s="71">
        <f>'Summary sheet'!X65</f>
        <v>0</v>
      </c>
      <c r="C33" s="60">
        <f>C39/C38</f>
        <v>1.8912529550827426E-2</v>
      </c>
      <c r="D33" s="60">
        <f>D39/D38</f>
        <v>3.8986354775828458E-2</v>
      </c>
      <c r="E33" s="60">
        <f>E39/E38</f>
        <v>6.7658998646820019E-3</v>
      </c>
      <c r="F33" s="60">
        <f>F39/F38</f>
        <v>2.2988505747126436E-2</v>
      </c>
      <c r="G33" s="60">
        <f>G39/G38</f>
        <v>6.9185000691850008E-3</v>
      </c>
    </row>
    <row r="34" spans="1:7">
      <c r="A34" s="54" t="s">
        <v>140</v>
      </c>
      <c r="B34" s="73">
        <f>'Summary sheet'!X56</f>
        <v>696.92681691596579</v>
      </c>
      <c r="C34" s="59">
        <v>0.54</v>
      </c>
      <c r="D34" s="59">
        <v>0.84</v>
      </c>
      <c r="E34" s="59">
        <v>0.78</v>
      </c>
      <c r="F34" s="59">
        <v>0.47</v>
      </c>
      <c r="G34" s="59">
        <v>3.74</v>
      </c>
    </row>
    <row r="35" spans="1:7">
      <c r="A35" s="54" t="s">
        <v>141</v>
      </c>
      <c r="B35" s="72">
        <v>5.16</v>
      </c>
      <c r="C35" s="59">
        <v>4.2</v>
      </c>
      <c r="D35" s="59">
        <v>3.06</v>
      </c>
      <c r="E35" s="59">
        <v>5.75</v>
      </c>
      <c r="F35" s="59">
        <v>5.05</v>
      </c>
      <c r="G35" s="59">
        <v>60.64</v>
      </c>
    </row>
    <row r="36" spans="1:7">
      <c r="A36" s="54"/>
      <c r="B36" s="54"/>
      <c r="C36" s="54"/>
      <c r="D36" s="54"/>
      <c r="E36" s="54"/>
      <c r="F36" s="54"/>
      <c r="G36" s="54"/>
    </row>
    <row r="37" spans="1:7">
      <c r="A37" s="139" t="s">
        <v>142</v>
      </c>
      <c r="B37" s="139"/>
      <c r="C37" s="139"/>
      <c r="D37" s="139"/>
      <c r="E37" s="139"/>
      <c r="F37" s="139"/>
      <c r="G37" s="54"/>
    </row>
    <row r="38" spans="1:7">
      <c r="A38" s="54" t="s">
        <v>154</v>
      </c>
      <c r="B38" s="54">
        <f>'Summary sheet'!V54</f>
        <v>272.85000000000002</v>
      </c>
      <c r="C38" s="54">
        <v>42.3</v>
      </c>
      <c r="D38" s="54">
        <v>76.95</v>
      </c>
      <c r="E38" s="54">
        <v>73.900000000000006</v>
      </c>
      <c r="F38" s="54">
        <v>152.25</v>
      </c>
      <c r="G38" s="54">
        <v>3974.85</v>
      </c>
    </row>
    <row r="39" spans="1:7">
      <c r="A39" s="54" t="s">
        <v>155</v>
      </c>
      <c r="B39" s="54">
        <v>0.5</v>
      </c>
      <c r="C39" s="54">
        <v>0.8</v>
      </c>
      <c r="D39" s="54">
        <v>3</v>
      </c>
      <c r="E39" s="54">
        <v>0.5</v>
      </c>
      <c r="F39" s="54">
        <v>3.5</v>
      </c>
      <c r="G39" s="54">
        <v>27.5</v>
      </c>
    </row>
    <row r="40" spans="1:7">
      <c r="A40" s="54" t="s">
        <v>143</v>
      </c>
      <c r="B40" s="59">
        <f>'Summary sheet'!V56</f>
        <v>616.84329458018863</v>
      </c>
      <c r="C40" s="59">
        <v>78.489999999999995</v>
      </c>
      <c r="D40" s="59">
        <v>92.15</v>
      </c>
      <c r="E40" s="59">
        <v>95.28</v>
      </c>
      <c r="F40" s="59">
        <v>323.45</v>
      </c>
      <c r="G40" s="59">
        <v>1071.8599999999999</v>
      </c>
    </row>
    <row r="41" spans="1:7">
      <c r="A41" s="54" t="s">
        <v>144</v>
      </c>
      <c r="B41" s="74">
        <f>'Summary sheet'!X61</f>
        <v>0.11553525748428438</v>
      </c>
      <c r="C41" s="56">
        <v>0.10639999999999999</v>
      </c>
      <c r="D41" s="56">
        <v>0.1636</v>
      </c>
      <c r="E41" s="56">
        <v>0.10580000000000001</v>
      </c>
      <c r="F41" s="56">
        <v>5.9200000000000003E-2</v>
      </c>
      <c r="G41" s="56">
        <v>4.2200000000000001E-2</v>
      </c>
    </row>
    <row r="42" spans="1:7">
      <c r="A42" s="54" t="s">
        <v>145</v>
      </c>
      <c r="B42" s="70">
        <f>'Summary sheet'!X62</f>
        <v>1.5876414456822602E-2</v>
      </c>
      <c r="C42" s="56">
        <v>0.13420000000000001</v>
      </c>
      <c r="D42" s="56">
        <v>0.1794</v>
      </c>
      <c r="E42" s="56">
        <v>0.1124</v>
      </c>
      <c r="F42" s="56">
        <v>7.2400000000000006E-2</v>
      </c>
      <c r="G42" s="56">
        <v>4.9700000000000001E-2</v>
      </c>
    </row>
    <row r="43" spans="1:7">
      <c r="A43" s="54" t="s">
        <v>153</v>
      </c>
      <c r="B43" s="75">
        <v>54.3</v>
      </c>
      <c r="C43" s="61">
        <v>83.28</v>
      </c>
      <c r="D43" s="61">
        <v>78.599999999999994</v>
      </c>
      <c r="E43" s="61">
        <v>73.39</v>
      </c>
      <c r="F43" s="61">
        <v>80.55</v>
      </c>
      <c r="G43" s="61">
        <v>19.72</v>
      </c>
    </row>
    <row r="44" spans="1:7">
      <c r="A44" s="54" t="s">
        <v>146</v>
      </c>
      <c r="B44" s="76">
        <f>'Summary sheet'!X68</f>
        <v>65.981172034505093</v>
      </c>
      <c r="C44" s="65" t="s">
        <v>172</v>
      </c>
      <c r="D44" s="65" t="s">
        <v>167</v>
      </c>
      <c r="E44" s="65" t="s">
        <v>162</v>
      </c>
      <c r="F44" s="65" t="s">
        <v>157</v>
      </c>
      <c r="G44" s="62">
        <v>63.23</v>
      </c>
    </row>
    <row r="45" spans="1:7">
      <c r="A45" s="54" t="s">
        <v>52</v>
      </c>
      <c r="B45" s="76">
        <f>'Summary sheet'!V68</f>
        <v>50.747025165297394</v>
      </c>
      <c r="C45" s="65" t="s">
        <v>173</v>
      </c>
      <c r="D45" s="65" t="s">
        <v>168</v>
      </c>
      <c r="E45" s="65" t="s">
        <v>163</v>
      </c>
      <c r="F45" s="65" t="s">
        <v>158</v>
      </c>
      <c r="G45" s="62">
        <v>45.26</v>
      </c>
    </row>
    <row r="46" spans="1:7">
      <c r="A46" s="54" t="s">
        <v>147</v>
      </c>
      <c r="B46" s="76">
        <f>'Summary sheet'!X67</f>
        <v>103.44327606233662</v>
      </c>
      <c r="C46" s="65" t="s">
        <v>174</v>
      </c>
      <c r="D46" s="65" t="s">
        <v>169</v>
      </c>
      <c r="E46" s="65" t="s">
        <v>164</v>
      </c>
      <c r="F46" s="65" t="s">
        <v>159</v>
      </c>
      <c r="G46" s="62">
        <v>49.37</v>
      </c>
    </row>
    <row r="47" spans="1:7">
      <c r="A47" s="54" t="s">
        <v>148</v>
      </c>
      <c r="B47" s="77">
        <f>'Summary sheet'!X69</f>
        <v>81.723459901835923</v>
      </c>
      <c r="C47" s="65" t="s">
        <v>175</v>
      </c>
      <c r="D47" s="65" t="s">
        <v>170</v>
      </c>
      <c r="E47" s="65" t="s">
        <v>165</v>
      </c>
      <c r="F47" s="65" t="s">
        <v>160</v>
      </c>
      <c r="G47" s="62">
        <v>59.13</v>
      </c>
    </row>
    <row r="48" spans="1:7">
      <c r="A48" s="54" t="s">
        <v>149</v>
      </c>
      <c r="B48" s="78">
        <f>'Summary sheet'!X63</f>
        <v>6.7982058592483935E-2</v>
      </c>
      <c r="C48" s="62">
        <v>0.17</v>
      </c>
      <c r="D48" s="62">
        <v>0.05</v>
      </c>
      <c r="E48" s="62">
        <v>0.09</v>
      </c>
      <c r="F48" s="62">
        <v>0.05</v>
      </c>
      <c r="G48" s="62">
        <v>0</v>
      </c>
    </row>
    <row r="49" spans="1:7">
      <c r="A49" s="54" t="s">
        <v>150</v>
      </c>
      <c r="B49" s="79" t="s">
        <v>177</v>
      </c>
      <c r="C49" s="66" t="s">
        <v>176</v>
      </c>
      <c r="D49" s="66" t="s">
        <v>171</v>
      </c>
      <c r="E49" s="66" t="s">
        <v>166</v>
      </c>
      <c r="F49" s="66" t="s">
        <v>161</v>
      </c>
      <c r="G49" s="62">
        <v>90.41</v>
      </c>
    </row>
    <row r="50" spans="1:7">
      <c r="A50" s="54" t="s">
        <v>151</v>
      </c>
      <c r="B50" s="80">
        <f>'Summary sheet'!X71</f>
        <v>2.6994067459916636E-2</v>
      </c>
      <c r="C50" s="63">
        <f>C52/C18</f>
        <v>0.11803014327358433</v>
      </c>
      <c r="D50" s="63">
        <f>D52/D18</f>
        <v>8.1237911025145063E-2</v>
      </c>
      <c r="E50" s="63">
        <f>E52/E18</f>
        <v>7.8222548659566654E-2</v>
      </c>
      <c r="F50" s="63">
        <f>F52/F18</f>
        <v>8.6990595611285262E-2</v>
      </c>
      <c r="G50" s="63" t="s">
        <v>179</v>
      </c>
    </row>
    <row r="51" spans="1:7">
      <c r="A51" s="81" t="s">
        <v>180</v>
      </c>
    </row>
    <row r="52" spans="1:7">
      <c r="A52" t="s">
        <v>178</v>
      </c>
      <c r="B52">
        <v>48.4</v>
      </c>
      <c r="C52">
        <v>190.3</v>
      </c>
      <c r="D52">
        <v>16.8</v>
      </c>
      <c r="E52">
        <v>21.3</v>
      </c>
      <c r="F52">
        <v>11.1</v>
      </c>
      <c r="G52" s="67">
        <v>94</v>
      </c>
    </row>
  </sheetData>
  <mergeCells count="7">
    <mergeCell ref="A37:F37"/>
    <mergeCell ref="A1:G1"/>
    <mergeCell ref="A3:G3"/>
    <mergeCell ref="A16:G16"/>
    <mergeCell ref="A23:F23"/>
    <mergeCell ref="E29:F30"/>
    <mergeCell ref="A31:F3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0"/>
  <sheetViews>
    <sheetView workbookViewId="0">
      <pane xSplit="7" ySplit="9" topLeftCell="H21" activePane="bottomRight" state="frozen"/>
      <selection pane="topRight" activeCell="H1" sqref="H1"/>
      <selection pane="bottomLeft" activeCell="A10" sqref="A10"/>
      <selection pane="bottomRight" activeCell="K27" sqref="K27:K28"/>
    </sheetView>
  </sheetViews>
  <sheetFormatPr defaultRowHeight="15"/>
  <cols>
    <col min="1" max="1" width="14.85546875" customWidth="1"/>
    <col min="2" max="2" width="11.28515625" customWidth="1"/>
    <col min="3" max="3" width="9.85546875" customWidth="1"/>
    <col min="4" max="4" width="11.85546875" customWidth="1"/>
    <col min="5" max="5" width="12.28515625" customWidth="1"/>
    <col min="7" max="7" width="12.140625" customWidth="1"/>
    <col min="8" max="9" width="12.5703125" customWidth="1"/>
    <col min="11" max="11" width="11.28515625" customWidth="1"/>
    <col min="12" max="12" width="10.5703125" customWidth="1"/>
  </cols>
  <sheetData>
    <row r="1" spans="1:13" ht="19.5" thickBot="1">
      <c r="A1" s="154" t="s">
        <v>200</v>
      </c>
      <c r="B1" s="155"/>
      <c r="C1" s="155"/>
      <c r="D1" s="155"/>
      <c r="E1" s="155"/>
      <c r="F1" s="155"/>
      <c r="G1" s="155"/>
      <c r="H1" s="155"/>
      <c r="I1" s="155"/>
      <c r="J1" s="155"/>
      <c r="K1" s="156"/>
    </row>
    <row r="2" spans="1:13" ht="15.75" thickBot="1">
      <c r="A2" s="102"/>
      <c r="B2" s="157" t="s">
        <v>201</v>
      </c>
      <c r="C2" s="158"/>
      <c r="D2" s="157" t="s">
        <v>202</v>
      </c>
      <c r="E2" s="158"/>
      <c r="F2" s="157" t="s">
        <v>203</v>
      </c>
      <c r="G2" s="158"/>
      <c r="H2" s="157" t="s">
        <v>204</v>
      </c>
      <c r="I2" s="158"/>
      <c r="J2" s="157" t="s">
        <v>205</v>
      </c>
      <c r="K2" s="159"/>
      <c r="L2" s="119" t="s">
        <v>206</v>
      </c>
      <c r="M2" s="118"/>
    </row>
    <row r="3" spans="1:13" ht="15.75" thickBot="1">
      <c r="A3" s="103"/>
      <c r="B3" s="105" t="s">
        <v>184</v>
      </c>
      <c r="C3" s="105" t="s">
        <v>195</v>
      </c>
      <c r="D3" s="105" t="s">
        <v>184</v>
      </c>
      <c r="E3" s="105" t="s">
        <v>195</v>
      </c>
      <c r="F3" s="105" t="s">
        <v>184</v>
      </c>
      <c r="G3" s="105" t="s">
        <v>195</v>
      </c>
      <c r="H3" s="105" t="s">
        <v>184</v>
      </c>
      <c r="I3" s="105" t="s">
        <v>195</v>
      </c>
      <c r="J3" s="105" t="s">
        <v>184</v>
      </c>
      <c r="K3" s="105" t="s">
        <v>195</v>
      </c>
      <c r="L3" s="117" t="s">
        <v>184</v>
      </c>
      <c r="M3" s="117" t="s">
        <v>195</v>
      </c>
    </row>
    <row r="4" spans="1:13" ht="15.75" thickBot="1">
      <c r="A4" s="148" t="s">
        <v>74</v>
      </c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13" ht="30.75" thickBot="1">
      <c r="A5" s="102" t="s">
        <v>196</v>
      </c>
      <c r="B5" s="68">
        <f>'Summary sheet'!J4</f>
        <v>9570.2860000000001</v>
      </c>
      <c r="C5" s="68">
        <v>6506.5339999999997</v>
      </c>
      <c r="D5" s="107">
        <v>12264</v>
      </c>
      <c r="E5" s="55">
        <v>8915</v>
      </c>
      <c r="F5" s="108">
        <v>5180.68</v>
      </c>
      <c r="G5" s="107">
        <v>3458</v>
      </c>
      <c r="H5" s="109">
        <v>34628.199999999997</v>
      </c>
      <c r="I5" s="106">
        <v>20486.669999999998</v>
      </c>
      <c r="J5" s="106">
        <v>31763</v>
      </c>
      <c r="K5" s="106">
        <v>18542</v>
      </c>
    </row>
    <row r="6" spans="1:13" ht="30.75" thickBot="1">
      <c r="A6" s="102" t="s">
        <v>129</v>
      </c>
      <c r="B6" s="70">
        <f>'Summary sheet'!J8</f>
        <v>-5.5018030127749529E-2</v>
      </c>
      <c r="C6" s="99">
        <v>-0.20783300315546027</v>
      </c>
      <c r="D6" s="103">
        <v>0.02</v>
      </c>
      <c r="E6" s="69">
        <v>0.02</v>
      </c>
      <c r="F6" s="110">
        <v>0.20899999999999999</v>
      </c>
      <c r="G6" s="103"/>
      <c r="H6" s="110">
        <v>6.9000000000000006E-2</v>
      </c>
      <c r="I6" s="103"/>
      <c r="J6" s="110">
        <v>0.153</v>
      </c>
      <c r="K6" s="103"/>
    </row>
    <row r="7" spans="1:13" ht="15.75" thickBot="1">
      <c r="A7" s="102" t="s">
        <v>3</v>
      </c>
      <c r="B7" s="55">
        <f>'Summary sheet'!J16</f>
        <v>825.95300000000134</v>
      </c>
      <c r="C7" s="55">
        <v>479.35800000000017</v>
      </c>
      <c r="D7" s="106">
        <v>846</v>
      </c>
      <c r="E7" s="55">
        <v>975</v>
      </c>
      <c r="F7" s="111">
        <v>742.46</v>
      </c>
      <c r="G7" s="111">
        <v>433.92</v>
      </c>
      <c r="H7" s="106">
        <v>9893.1</v>
      </c>
      <c r="I7" s="106">
        <v>5109.67</v>
      </c>
      <c r="J7" s="106">
        <v>6445</v>
      </c>
      <c r="K7" s="106">
        <v>3409</v>
      </c>
    </row>
    <row r="8" spans="1:13" ht="30.75" thickBot="1">
      <c r="A8" s="102" t="s">
        <v>129</v>
      </c>
      <c r="B8" s="70">
        <f>'Summary sheet'!J18</f>
        <v>-0.23001790945873102</v>
      </c>
      <c r="C8" s="70">
        <v>-0.23001790945873102</v>
      </c>
      <c r="D8" s="111">
        <v>-0.27940717489856892</v>
      </c>
      <c r="E8" s="69">
        <v>-0.24449962463529584</v>
      </c>
      <c r="F8" s="110">
        <v>0.312</v>
      </c>
      <c r="G8" s="103"/>
      <c r="H8" s="110">
        <v>0.26900000000000002</v>
      </c>
      <c r="I8" s="103"/>
      <c r="J8" s="110">
        <v>0.26700000000000002</v>
      </c>
      <c r="K8" s="103"/>
    </row>
    <row r="9" spans="1:13" ht="30.75" thickBot="1">
      <c r="A9" s="102" t="s">
        <v>130</v>
      </c>
      <c r="B9" s="70">
        <f t="shared" ref="B9" si="0">B7/B5</f>
        <v>8.6303899381899488E-2</v>
      </c>
      <c r="C9" s="99">
        <v>7.3673325921296995E-2</v>
      </c>
      <c r="D9" s="110">
        <v>6.8982387475538157E-2</v>
      </c>
      <c r="E9" s="56">
        <v>0.10936623667975323</v>
      </c>
      <c r="F9" s="110">
        <v>0.14330000000000001</v>
      </c>
      <c r="G9" s="110">
        <v>0.1255</v>
      </c>
      <c r="H9" s="110">
        <v>0.28570000000000001</v>
      </c>
      <c r="I9" s="110">
        <v>0.24940000000000001</v>
      </c>
      <c r="J9" s="111">
        <v>20.29</v>
      </c>
      <c r="K9" s="110">
        <v>0.18390000000000001</v>
      </c>
    </row>
    <row r="10" spans="1:13" ht="15.75" thickBot="1">
      <c r="A10" s="102" t="s">
        <v>9</v>
      </c>
      <c r="B10" s="55">
        <f>'Summary sheet'!J27</f>
        <v>217.73000000000133</v>
      </c>
      <c r="C10" s="55">
        <v>191.56300000000019</v>
      </c>
      <c r="D10" s="106">
        <v>398</v>
      </c>
      <c r="E10" s="55">
        <v>524</v>
      </c>
      <c r="F10" s="111">
        <v>444.74</v>
      </c>
      <c r="G10" s="111">
        <v>228.1</v>
      </c>
      <c r="H10" s="106">
        <v>7377.9</v>
      </c>
      <c r="I10" s="106">
        <v>3787</v>
      </c>
      <c r="J10" s="106">
        <v>4082</v>
      </c>
      <c r="K10" s="106">
        <v>2184</v>
      </c>
    </row>
    <row r="11" spans="1:13" ht="30.75" thickBot="1">
      <c r="A11" s="102" t="s">
        <v>129</v>
      </c>
      <c r="B11" s="70">
        <f>'Summary sheet'!H29</f>
        <v>1.8505335959970282E-2</v>
      </c>
      <c r="C11" s="99">
        <v>-0.45088374062039061</v>
      </c>
      <c r="D11" s="111">
        <v>-0.3</v>
      </c>
      <c r="E11" s="69">
        <v>-0.3</v>
      </c>
      <c r="F11" s="110">
        <v>0.26300000000000001</v>
      </c>
      <c r="G11" s="103"/>
      <c r="H11" s="110">
        <v>0.34</v>
      </c>
      <c r="I11" s="103"/>
      <c r="J11" s="110">
        <v>0.32500000000000001</v>
      </c>
      <c r="K11" s="103"/>
    </row>
    <row r="12" spans="1:13" ht="15.75" thickBot="1">
      <c r="A12" s="102" t="s">
        <v>131</v>
      </c>
      <c r="B12" s="70">
        <f t="shared" ref="B12" si="1">B10/B5</f>
        <v>2.2750626261326078E-2</v>
      </c>
      <c r="C12" s="99">
        <v>2.944163513169995E-2</v>
      </c>
      <c r="D12" s="112">
        <v>3.2452707110241355E-2</v>
      </c>
      <c r="E12" s="56">
        <v>5.8777341559169936E-2</v>
      </c>
      <c r="F12" s="110">
        <v>8.5900000000000004E-2</v>
      </c>
      <c r="G12" s="110">
        <v>6.6000000000000003E-2</v>
      </c>
      <c r="H12" s="110">
        <v>0.21299999999999999</v>
      </c>
      <c r="I12" s="110">
        <v>0.18490000000000001</v>
      </c>
      <c r="J12" s="110">
        <v>0.1285</v>
      </c>
      <c r="K12" s="110">
        <v>0.1178</v>
      </c>
    </row>
    <row r="13" spans="1:13" ht="15.75" thickBot="1">
      <c r="A13" s="102" t="s">
        <v>11</v>
      </c>
      <c r="B13" s="54">
        <f>'Summary sheet'!J36</f>
        <v>48.69</v>
      </c>
      <c r="C13" s="100">
        <v>36.99</v>
      </c>
      <c r="D13" s="111">
        <v>3.24</v>
      </c>
      <c r="E13" s="54">
        <v>4.5</v>
      </c>
      <c r="F13" s="111">
        <v>33.93</v>
      </c>
      <c r="G13" s="111">
        <v>17.38</v>
      </c>
      <c r="H13" s="111">
        <v>11.89</v>
      </c>
      <c r="I13" s="111">
        <v>6.1</v>
      </c>
      <c r="J13" s="111">
        <v>20.13</v>
      </c>
      <c r="K13" s="111">
        <v>10.71</v>
      </c>
    </row>
    <row r="14" spans="1:13" ht="15.75" thickBot="1">
      <c r="A14" s="102"/>
      <c r="B14" s="71">
        <f>'Summary sheet'!H38</f>
        <v>-2.2933756316049214E-3</v>
      </c>
      <c r="C14" s="71">
        <v>-0.20034631614891907</v>
      </c>
      <c r="D14" s="103">
        <v>-0.35366959299043488</v>
      </c>
      <c r="E14" s="69">
        <v>-0.27887521484629585</v>
      </c>
      <c r="F14" s="103"/>
      <c r="G14" s="103"/>
      <c r="H14" s="103"/>
      <c r="I14" s="103"/>
      <c r="J14" s="103"/>
      <c r="K14" s="103"/>
    </row>
    <row r="15" spans="1:13" ht="15.75" thickBot="1">
      <c r="A15" s="102"/>
      <c r="B15" s="103"/>
      <c r="C15" s="103"/>
      <c r="D15" s="103"/>
      <c r="E15" s="103"/>
      <c r="F15" s="103"/>
      <c r="G15" s="103"/>
      <c r="H15" s="103"/>
      <c r="I15" s="103"/>
      <c r="J15" s="103"/>
      <c r="K15" s="103"/>
    </row>
    <row r="16" spans="1:13" ht="15.75" thickBot="1">
      <c r="A16" s="148" t="s">
        <v>132</v>
      </c>
      <c r="B16" s="149"/>
      <c r="C16" s="149"/>
      <c r="D16" s="149"/>
      <c r="E16" s="149"/>
      <c r="F16" s="149"/>
      <c r="G16" s="149"/>
      <c r="H16" s="149"/>
      <c r="I16" s="149"/>
      <c r="J16" s="149"/>
      <c r="K16" s="150"/>
    </row>
    <row r="17" spans="1:13" ht="15.75" thickBot="1">
      <c r="A17" s="102" t="s">
        <v>133</v>
      </c>
      <c r="B17" s="55">
        <f>'Summary sheet'!X6</f>
        <v>21844.440000000002</v>
      </c>
      <c r="C17" s="55">
        <v>23760.99</v>
      </c>
      <c r="D17" s="55">
        <v>10215</v>
      </c>
      <c r="E17" s="108">
        <v>11154.04</v>
      </c>
      <c r="F17" s="55">
        <v>4645</v>
      </c>
      <c r="G17" s="107">
        <v>3752</v>
      </c>
      <c r="H17" s="55">
        <v>3691</v>
      </c>
      <c r="I17" s="107">
        <v>35018</v>
      </c>
      <c r="J17" s="55">
        <v>2838.2150000000001</v>
      </c>
      <c r="K17" s="106">
        <v>21187</v>
      </c>
      <c r="L17" s="55">
        <v>153519</v>
      </c>
      <c r="M17" s="55">
        <v>42810</v>
      </c>
    </row>
    <row r="18" spans="1:13" ht="15.75" thickBot="1">
      <c r="A18" s="102" t="s">
        <v>63</v>
      </c>
      <c r="B18" s="68">
        <f t="shared" ref="B18" si="2">B19+B20</f>
        <v>1485.03</v>
      </c>
      <c r="C18" s="68">
        <v>278.858</v>
      </c>
      <c r="D18" s="55">
        <f>D19+D20</f>
        <v>3504</v>
      </c>
      <c r="E18" s="111">
        <v>1594.1</v>
      </c>
      <c r="F18" s="55">
        <f t="shared" ref="F18" si="3">F19+F20</f>
        <v>45.2</v>
      </c>
      <c r="G18" s="111">
        <v>237.5</v>
      </c>
      <c r="H18" s="55">
        <f t="shared" ref="H18" si="4">H19+H20</f>
        <v>880</v>
      </c>
      <c r="I18" s="111">
        <v>302.7</v>
      </c>
      <c r="J18" s="55">
        <f t="shared" ref="J18" si="5">J19+J20</f>
        <v>154.154</v>
      </c>
      <c r="K18" s="111">
        <v>831</v>
      </c>
      <c r="L18" s="55">
        <f t="shared" ref="L18:M18" si="6">L19+L20</f>
        <v>0</v>
      </c>
      <c r="M18" s="55">
        <f t="shared" si="6"/>
        <v>0</v>
      </c>
    </row>
    <row r="19" spans="1:13" ht="15.75" thickBot="1">
      <c r="A19" s="114" t="s">
        <v>134</v>
      </c>
      <c r="B19" s="55">
        <f>'Summary sheet'!X8</f>
        <v>951.53</v>
      </c>
      <c r="C19" s="55">
        <v>273.358</v>
      </c>
      <c r="D19" s="55">
        <v>1164</v>
      </c>
      <c r="E19" s="111" t="s">
        <v>183</v>
      </c>
      <c r="F19" s="55">
        <v>0</v>
      </c>
      <c r="G19" s="111">
        <v>129.05000000000001</v>
      </c>
      <c r="H19" s="55">
        <v>91</v>
      </c>
      <c r="I19" s="111">
        <v>1.1000000000000001</v>
      </c>
      <c r="J19" s="55">
        <v>0</v>
      </c>
      <c r="K19" s="111">
        <v>291</v>
      </c>
      <c r="L19" s="55">
        <v>0</v>
      </c>
      <c r="M19" s="55">
        <v>0</v>
      </c>
    </row>
    <row r="20" spans="1:13" ht="15.75" thickBot="1">
      <c r="A20" s="114" t="s">
        <v>135</v>
      </c>
      <c r="B20" s="55">
        <f>'Summary sheet'!X9</f>
        <v>533.5</v>
      </c>
      <c r="C20" s="55">
        <v>5.5</v>
      </c>
      <c r="D20" s="55">
        <v>2340</v>
      </c>
      <c r="E20" s="107">
        <v>1594</v>
      </c>
      <c r="F20" s="55">
        <v>45.2</v>
      </c>
      <c r="G20" s="111">
        <v>108.02</v>
      </c>
      <c r="H20" s="55">
        <v>789</v>
      </c>
      <c r="I20" s="111">
        <v>301.60000000000002</v>
      </c>
      <c r="J20" s="55">
        <v>154.154</v>
      </c>
      <c r="K20" s="111">
        <v>540</v>
      </c>
      <c r="L20" s="55">
        <v>0</v>
      </c>
      <c r="M20" s="55">
        <v>0</v>
      </c>
    </row>
    <row r="21" spans="1:13" ht="15.75" thickBot="1">
      <c r="A21" s="102"/>
      <c r="B21" s="103"/>
      <c r="C21" s="103"/>
      <c r="D21" s="103"/>
      <c r="E21" s="103"/>
      <c r="F21" s="103"/>
      <c r="G21" s="103"/>
      <c r="H21" s="103"/>
      <c r="I21" s="103"/>
      <c r="J21" s="103"/>
      <c r="K21" s="103"/>
    </row>
    <row r="22" spans="1:13" ht="15.75" thickBot="1">
      <c r="A22" s="102"/>
      <c r="B22" s="103"/>
      <c r="C22" s="103"/>
      <c r="D22" s="103"/>
      <c r="E22" s="103"/>
      <c r="F22" s="103"/>
      <c r="G22" s="103"/>
      <c r="H22" s="103"/>
      <c r="I22" s="103"/>
      <c r="J22" s="103"/>
      <c r="K22" s="103"/>
    </row>
    <row r="23" spans="1:13" ht="15.75" thickBot="1">
      <c r="A23" s="151" t="s">
        <v>12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3"/>
    </row>
    <row r="24" spans="1:13" ht="15.75" thickBot="1">
      <c r="A24" s="102" t="s">
        <v>136</v>
      </c>
      <c r="B24" s="82">
        <f>'Summary sheet'!J44</f>
        <v>722.12</v>
      </c>
      <c r="C24" s="100">
        <v>269.84500000000003</v>
      </c>
      <c r="D24" s="58">
        <v>95.59</v>
      </c>
      <c r="E24" s="58">
        <v>-130</v>
      </c>
      <c r="F24" s="58">
        <v>729.18299999999999</v>
      </c>
      <c r="G24" s="58">
        <v>580</v>
      </c>
      <c r="H24" s="54">
        <v>755.85699999999997</v>
      </c>
      <c r="I24" s="54">
        <v>412</v>
      </c>
      <c r="J24" s="54">
        <v>263.24900000000002</v>
      </c>
      <c r="K24" s="54">
        <v>263.24900000000002</v>
      </c>
      <c r="L24" s="54">
        <v>8813.7999999999993</v>
      </c>
      <c r="M24" s="120">
        <v>4865</v>
      </c>
    </row>
    <row r="25" spans="1:13" ht="15.75" thickBot="1">
      <c r="A25" s="102" t="s">
        <v>20</v>
      </c>
      <c r="B25" s="72">
        <f>'Summary sheet'!H58</f>
        <v>0</v>
      </c>
      <c r="C25" s="73">
        <v>111.3820000000012</v>
      </c>
      <c r="D25" s="59">
        <f>D24-805.05</f>
        <v>-709.45999999999992</v>
      </c>
      <c r="E25" s="59">
        <v>-1911</v>
      </c>
      <c r="F25" s="59">
        <f>F24-667.642</f>
        <v>61.54099999999994</v>
      </c>
      <c r="G25" s="59">
        <v>183</v>
      </c>
      <c r="H25" s="59">
        <f>H24-428.973</f>
        <v>326.88399999999996</v>
      </c>
      <c r="I25" s="59">
        <v>84</v>
      </c>
      <c r="J25" s="54">
        <f>J24-400.899</f>
        <v>-137.64999999999998</v>
      </c>
      <c r="K25" s="54">
        <f>K24-400.899</f>
        <v>-137.64999999999998</v>
      </c>
      <c r="L25" s="54">
        <f>L24-3739.9</f>
        <v>5073.8999999999996</v>
      </c>
      <c r="M25">
        <v>2567</v>
      </c>
    </row>
    <row r="26" spans="1:13" ht="15.75" thickBot="1">
      <c r="A26" s="102"/>
      <c r="B26" s="55">
        <f>'Summary sheet'!J61</f>
        <v>31343951</v>
      </c>
      <c r="C26" s="103"/>
      <c r="D26" s="103"/>
      <c r="E26" s="103"/>
      <c r="F26" s="103"/>
      <c r="G26" s="103"/>
      <c r="H26" s="103"/>
      <c r="I26" s="103"/>
      <c r="J26" s="103"/>
      <c r="K26" s="103"/>
    </row>
    <row r="27" spans="1:13" ht="15.75" thickBot="1">
      <c r="A27" s="102" t="s">
        <v>60</v>
      </c>
      <c r="B27" s="55">
        <f>'Summary sheet'!J64</f>
        <v>104.67099999999999</v>
      </c>
      <c r="C27" s="107">
        <v>20491.640115900002</v>
      </c>
      <c r="D27" s="55">
        <v>8991</v>
      </c>
      <c r="E27" s="58">
        <v>-130</v>
      </c>
      <c r="F27" s="55">
        <v>5084</v>
      </c>
      <c r="G27" s="58">
        <v>580</v>
      </c>
      <c r="H27" s="55">
        <v>3225</v>
      </c>
      <c r="I27" s="54">
        <v>412</v>
      </c>
      <c r="J27" s="55">
        <v>1249</v>
      </c>
      <c r="K27" s="54">
        <v>263.24900000000002</v>
      </c>
      <c r="L27" s="55">
        <v>120221</v>
      </c>
    </row>
    <row r="28" spans="1:13" ht="30.75" thickBot="1">
      <c r="A28" s="102" t="s">
        <v>137</v>
      </c>
      <c r="B28" s="115">
        <v>4019</v>
      </c>
      <c r="C28" s="107">
        <v>20566.905115900001</v>
      </c>
      <c r="D28" s="55">
        <v>6637.3</v>
      </c>
      <c r="E28" s="59">
        <v>-1911</v>
      </c>
      <c r="F28" s="55">
        <v>3153.7</v>
      </c>
      <c r="G28" s="59">
        <v>183</v>
      </c>
      <c r="H28" s="55">
        <v>2541.6</v>
      </c>
      <c r="I28" s="59">
        <v>84</v>
      </c>
      <c r="J28" s="55">
        <v>1360.3</v>
      </c>
      <c r="K28" s="54">
        <f>K27-400.899</f>
        <v>-137.64999999999998</v>
      </c>
      <c r="L28" s="55">
        <v>594266.19999999995</v>
      </c>
    </row>
    <row r="29" spans="1:13" ht="15.75" thickBot="1">
      <c r="A29" s="102"/>
      <c r="B29" s="103"/>
      <c r="C29" s="103"/>
      <c r="D29" s="103"/>
      <c r="E29" s="103"/>
      <c r="F29" s="103"/>
      <c r="G29" s="103"/>
      <c r="H29" s="103"/>
      <c r="I29" s="103"/>
      <c r="J29" s="103"/>
      <c r="K29" s="103"/>
    </row>
    <row r="30" spans="1:13" ht="15.75" thickBot="1">
      <c r="A30" s="102"/>
      <c r="B30" s="103"/>
      <c r="C30" s="103"/>
      <c r="D30" s="103"/>
      <c r="E30" s="103"/>
      <c r="F30" s="103"/>
      <c r="G30" s="103"/>
      <c r="H30" s="103"/>
      <c r="I30" s="103"/>
      <c r="J30" s="103"/>
      <c r="K30" s="103"/>
    </row>
    <row r="31" spans="1:13" ht="15.75" thickBot="1">
      <c r="A31" s="148" t="s">
        <v>138</v>
      </c>
      <c r="B31" s="149"/>
      <c r="C31" s="149"/>
      <c r="D31" s="149"/>
      <c r="E31" s="149"/>
      <c r="F31" s="149"/>
      <c r="G31" s="149"/>
      <c r="H31" s="149"/>
      <c r="I31" s="149"/>
      <c r="J31" s="149"/>
      <c r="K31" s="150"/>
    </row>
    <row r="32" spans="1:13" ht="15.75" thickBot="1">
      <c r="A32" s="102" t="s">
        <v>139</v>
      </c>
      <c r="B32" s="73">
        <f>'Summary sheet'!X58</f>
        <v>8.5808174163072497</v>
      </c>
      <c r="C32" s="111">
        <v>13.851040821843741</v>
      </c>
      <c r="D32" s="59">
        <v>27.49</v>
      </c>
      <c r="E32" s="111">
        <v>15.9</v>
      </c>
      <c r="F32" s="111">
        <v>29.1</v>
      </c>
      <c r="G32" s="111">
        <v>21.3</v>
      </c>
      <c r="H32" s="111">
        <v>10.7</v>
      </c>
      <c r="I32" s="111">
        <v>17.100000000000001</v>
      </c>
      <c r="J32" s="111">
        <v>80.31</v>
      </c>
      <c r="K32" s="111">
        <v>100.37</v>
      </c>
    </row>
    <row r="33" spans="1:11" ht="15.75" thickBot="1">
      <c r="A33" s="102" t="s">
        <v>49</v>
      </c>
      <c r="B33" s="71">
        <f>'Summary sheet'!X65</f>
        <v>0</v>
      </c>
      <c r="C33" s="110">
        <v>0</v>
      </c>
      <c r="D33" s="60">
        <v>1.8912529550827426E-2</v>
      </c>
      <c r="E33" s="110">
        <v>0</v>
      </c>
      <c r="F33" s="110">
        <v>0</v>
      </c>
      <c r="G33" s="110">
        <v>0</v>
      </c>
      <c r="H33" s="110">
        <v>3.1E-2</v>
      </c>
      <c r="I33" s="110">
        <v>0</v>
      </c>
      <c r="J33" s="110">
        <v>1E-3</v>
      </c>
      <c r="K33" s="111">
        <v>0</v>
      </c>
    </row>
    <row r="34" spans="1:11" ht="30.75" thickBot="1">
      <c r="A34" s="102" t="s">
        <v>140</v>
      </c>
      <c r="B34" s="73">
        <f>'Summary sheet'!X56</f>
        <v>696.92681691596579</v>
      </c>
      <c r="C34" s="111">
        <v>594.09315982735416</v>
      </c>
      <c r="D34" s="59">
        <v>0.54</v>
      </c>
      <c r="E34" s="111">
        <v>3.67</v>
      </c>
      <c r="F34" s="111">
        <v>3.68</v>
      </c>
      <c r="G34" s="111">
        <v>2.84</v>
      </c>
      <c r="H34" s="111">
        <v>3.56</v>
      </c>
      <c r="I34" s="111">
        <v>3.7</v>
      </c>
      <c r="J34" s="111">
        <v>16.940000000000001</v>
      </c>
      <c r="K34" s="111">
        <v>10.19</v>
      </c>
    </row>
    <row r="35" spans="1:11" ht="15.75" thickBot="1">
      <c r="A35" s="102" t="s">
        <v>141</v>
      </c>
      <c r="B35" s="72">
        <v>5.16</v>
      </c>
      <c r="C35" s="111">
        <v>42.905104568819112</v>
      </c>
      <c r="D35" s="59">
        <v>4.2</v>
      </c>
      <c r="E35" s="111">
        <v>11.3</v>
      </c>
      <c r="F35" s="111">
        <v>17.16</v>
      </c>
      <c r="G35" s="111">
        <v>25.15</v>
      </c>
      <c r="H35" s="111">
        <v>7.99</v>
      </c>
      <c r="I35" s="111">
        <v>12.13</v>
      </c>
      <c r="J35" s="111">
        <v>49.74</v>
      </c>
      <c r="K35" s="111">
        <v>62.84</v>
      </c>
    </row>
    <row r="36" spans="1:11" ht="15.75" thickBot="1">
      <c r="A36" s="102"/>
      <c r="B36" s="103"/>
      <c r="C36" s="103"/>
      <c r="D36" s="103"/>
      <c r="E36" s="103"/>
      <c r="F36" s="103"/>
      <c r="G36" s="103"/>
      <c r="H36" s="103"/>
      <c r="I36" s="103"/>
      <c r="J36" s="103"/>
      <c r="K36" s="103"/>
    </row>
    <row r="37" spans="1:11" ht="15.75" thickBot="1">
      <c r="A37" s="148" t="s">
        <v>142</v>
      </c>
      <c r="B37" s="149"/>
      <c r="C37" s="149"/>
      <c r="D37" s="149"/>
      <c r="E37" s="149"/>
      <c r="F37" s="149"/>
      <c r="G37" s="149"/>
      <c r="H37" s="149"/>
      <c r="I37" s="149"/>
      <c r="J37" s="150"/>
      <c r="K37" s="104"/>
    </row>
    <row r="38" spans="1:11" ht="30.75" thickBot="1">
      <c r="A38" s="102" t="s">
        <v>197</v>
      </c>
      <c r="B38" s="103"/>
      <c r="C38" s="54">
        <v>512.35</v>
      </c>
      <c r="D38" s="103"/>
      <c r="E38" s="111">
        <v>694.8</v>
      </c>
      <c r="F38" s="103"/>
      <c r="G38" s="111">
        <v>1677.6</v>
      </c>
      <c r="H38" s="103"/>
      <c r="I38" s="111">
        <v>208.7</v>
      </c>
      <c r="J38" s="103"/>
      <c r="K38" s="111">
        <v>2150</v>
      </c>
    </row>
    <row r="39" spans="1:11" ht="30.75" thickBot="1">
      <c r="A39" s="102" t="s">
        <v>198</v>
      </c>
      <c r="B39" s="113">
        <v>1344.02</v>
      </c>
      <c r="C39" s="111">
        <v>1526.36</v>
      </c>
      <c r="D39" s="111">
        <v>94.84</v>
      </c>
      <c r="E39" s="111">
        <v>101.4</v>
      </c>
      <c r="F39" s="111">
        <v>268.10000000000002</v>
      </c>
      <c r="G39" s="111">
        <v>286.16000000000003</v>
      </c>
      <c r="H39" s="111">
        <v>50.59</v>
      </c>
      <c r="I39" s="111">
        <v>56.44</v>
      </c>
      <c r="J39" s="111">
        <v>95.42</v>
      </c>
      <c r="K39" s="111">
        <v>105.45</v>
      </c>
    </row>
    <row r="40" spans="1:11" ht="30.75" thickBot="1">
      <c r="A40" s="102" t="s">
        <v>143</v>
      </c>
      <c r="B40" s="59">
        <f>'Summary sheet'!V56</f>
        <v>616.84329458018863</v>
      </c>
      <c r="C40" s="111">
        <v>594.09315982735416</v>
      </c>
      <c r="D40" s="59">
        <v>78.489999999999995</v>
      </c>
      <c r="E40" s="111">
        <v>101.4</v>
      </c>
      <c r="F40" s="111">
        <v>268.10000000000002</v>
      </c>
      <c r="G40" s="111">
        <v>286.16000000000003</v>
      </c>
      <c r="H40" s="111">
        <v>50.59</v>
      </c>
      <c r="I40" s="111">
        <v>56.44</v>
      </c>
      <c r="J40" s="111">
        <v>95.42</v>
      </c>
      <c r="K40" s="103"/>
    </row>
    <row r="41" spans="1:11" ht="15.75" thickBot="1">
      <c r="A41" s="102" t="s">
        <v>144</v>
      </c>
      <c r="B41" s="74">
        <f>'Summary sheet'!X61</f>
        <v>0.11553525748428438</v>
      </c>
      <c r="C41" s="99">
        <v>3.8113773878950298E-2</v>
      </c>
      <c r="D41" s="56">
        <v>0.10639999999999999</v>
      </c>
      <c r="E41" s="103"/>
      <c r="F41" s="111">
        <v>12.7</v>
      </c>
      <c r="G41" s="103"/>
      <c r="H41" s="110">
        <v>0.23499999999999999</v>
      </c>
      <c r="I41" s="103"/>
      <c r="J41" s="111">
        <v>21.3</v>
      </c>
      <c r="K41" s="103"/>
    </row>
    <row r="42" spans="1:11" ht="15.75" thickBot="1">
      <c r="A42" s="102" t="s">
        <v>145</v>
      </c>
      <c r="B42" s="70">
        <f>'Summary sheet'!X62</f>
        <v>1.5876414456822602E-2</v>
      </c>
      <c r="C42" s="99">
        <v>3.0480907582449762E-3</v>
      </c>
      <c r="D42" s="56">
        <v>0.13420000000000001</v>
      </c>
      <c r="E42" s="103"/>
      <c r="F42" s="111">
        <v>17.399999999999999</v>
      </c>
      <c r="G42" s="103"/>
      <c r="H42" s="110">
        <v>0.29759999999999998</v>
      </c>
      <c r="I42" s="103"/>
      <c r="J42" s="111">
        <v>27.5</v>
      </c>
      <c r="K42" s="103"/>
    </row>
    <row r="43" spans="1:11" ht="15.75" thickBot="1">
      <c r="A43" s="102" t="s">
        <v>199</v>
      </c>
      <c r="B43" s="75">
        <v>54.3</v>
      </c>
      <c r="C43" s="75">
        <v>1.18</v>
      </c>
      <c r="D43" s="61">
        <v>83.28</v>
      </c>
      <c r="E43" s="111">
        <v>1.74</v>
      </c>
      <c r="F43" s="111">
        <v>2.27</v>
      </c>
      <c r="G43" s="111">
        <v>1.46</v>
      </c>
      <c r="H43" s="111">
        <v>0.96</v>
      </c>
      <c r="I43" s="111">
        <v>2.0699999999999998</v>
      </c>
      <c r="J43" s="111">
        <v>2.3199999999999998</v>
      </c>
      <c r="K43" s="111">
        <v>1.26</v>
      </c>
    </row>
    <row r="44" spans="1:11" ht="30.75" thickBot="1">
      <c r="A44" s="102" t="s">
        <v>146</v>
      </c>
      <c r="B44" s="76">
        <f>'Summary sheet'!X68</f>
        <v>65.981172034505093</v>
      </c>
      <c r="C44" s="101">
        <v>106.14280054207808</v>
      </c>
      <c r="D44" s="65" t="s">
        <v>172</v>
      </c>
      <c r="E44" s="103"/>
      <c r="F44" s="111">
        <v>43</v>
      </c>
      <c r="G44" s="103"/>
      <c r="H44" s="111">
        <v>16</v>
      </c>
      <c r="I44" s="103"/>
      <c r="J44" s="111">
        <v>29</v>
      </c>
      <c r="K44" s="103"/>
    </row>
    <row r="45" spans="1:11" ht="15.75" thickBot="1">
      <c r="A45" s="102" t="s">
        <v>52</v>
      </c>
      <c r="B45" s="76">
        <f>'Summary sheet'!V68</f>
        <v>50.747025165297394</v>
      </c>
      <c r="C45" s="101">
        <v>106.14280054207808</v>
      </c>
      <c r="D45" s="65" t="s">
        <v>173</v>
      </c>
      <c r="E45" s="103"/>
      <c r="F45" s="111">
        <v>66</v>
      </c>
      <c r="G45" s="103"/>
      <c r="H45" s="111">
        <v>176</v>
      </c>
      <c r="I45" s="103"/>
      <c r="J45" s="111">
        <v>72</v>
      </c>
      <c r="K45" s="103"/>
    </row>
    <row r="46" spans="1:11" ht="15.75" thickBot="1">
      <c r="A46" s="102" t="s">
        <v>147</v>
      </c>
      <c r="B46" s="76">
        <f>'Summary sheet'!X67</f>
        <v>103.44327606233662</v>
      </c>
      <c r="C46" s="101">
        <v>158.70211356031416</v>
      </c>
      <c r="D46" s="65" t="s">
        <v>174</v>
      </c>
      <c r="E46" s="103"/>
      <c r="F46" s="111">
        <v>48</v>
      </c>
      <c r="G46" s="103"/>
      <c r="H46" s="111">
        <v>76</v>
      </c>
      <c r="I46" s="103"/>
      <c r="J46" s="111">
        <v>73</v>
      </c>
      <c r="K46" s="103"/>
    </row>
    <row r="47" spans="1:11" ht="45.75" thickBot="1">
      <c r="A47" s="102" t="s">
        <v>148</v>
      </c>
      <c r="B47" s="77">
        <f>'Summary sheet'!X69</f>
        <v>81.723459901835923</v>
      </c>
      <c r="C47" s="101">
        <v>132.00538075266132</v>
      </c>
      <c r="D47" s="65" t="s">
        <v>175</v>
      </c>
      <c r="E47" s="103"/>
      <c r="F47" s="111">
        <v>61</v>
      </c>
      <c r="G47" s="103"/>
      <c r="H47" s="111">
        <v>116</v>
      </c>
      <c r="I47" s="103"/>
      <c r="J47" s="111">
        <v>30</v>
      </c>
      <c r="K47" s="103"/>
    </row>
    <row r="48" spans="1:11" ht="30.75" thickBot="1">
      <c r="A48" s="102" t="s">
        <v>149</v>
      </c>
      <c r="B48" s="78">
        <f>'Summary sheet'!X63</f>
        <v>6.7982058592483935E-2</v>
      </c>
      <c r="C48" s="78">
        <v>1.173595881316393E-2</v>
      </c>
      <c r="D48" s="62">
        <v>0.17</v>
      </c>
      <c r="E48" s="111">
        <v>0.14000000000000001</v>
      </c>
      <c r="F48" s="111">
        <v>0.1</v>
      </c>
      <c r="G48" s="111">
        <v>0.06</v>
      </c>
      <c r="H48" s="111">
        <v>0.01</v>
      </c>
      <c r="I48" s="111">
        <v>0.06</v>
      </c>
      <c r="J48" s="111">
        <v>0</v>
      </c>
      <c r="K48" s="111">
        <v>0.04</v>
      </c>
    </row>
    <row r="49" spans="1:11" ht="30.75" thickBot="1">
      <c r="A49" s="102" t="s">
        <v>150</v>
      </c>
      <c r="B49" s="79" t="s">
        <v>177</v>
      </c>
      <c r="C49" s="79">
        <v>22.736707299720162</v>
      </c>
      <c r="D49" s="66" t="s">
        <v>176</v>
      </c>
      <c r="E49" s="111">
        <v>20.91</v>
      </c>
      <c r="F49" s="111">
        <v>14.91</v>
      </c>
      <c r="G49" s="111">
        <v>18.62</v>
      </c>
      <c r="H49" s="111">
        <v>151</v>
      </c>
      <c r="I49" s="111">
        <v>18.62</v>
      </c>
      <c r="J49" s="111">
        <v>41.69</v>
      </c>
      <c r="K49" s="111">
        <v>51.09</v>
      </c>
    </row>
    <row r="50" spans="1:11" ht="30.75" thickBot="1">
      <c r="A50" s="102" t="s">
        <v>151</v>
      </c>
      <c r="B50" s="80">
        <f>'Summary sheet'!X71</f>
        <v>2.6994067459916636E-2</v>
      </c>
      <c r="C50" s="80">
        <v>7.5604788100036568E-2</v>
      </c>
      <c r="D50" s="63">
        <v>0.11803014327358433</v>
      </c>
      <c r="E50" s="110">
        <v>0.04</v>
      </c>
      <c r="F50" s="110">
        <v>8.3000000000000004E-2</v>
      </c>
      <c r="G50" s="110">
        <v>7.0499999999999993E-2</v>
      </c>
      <c r="H50" s="110">
        <v>0.27810000000000001</v>
      </c>
      <c r="I50" s="110">
        <v>0.15</v>
      </c>
      <c r="J50" s="116">
        <v>0.33</v>
      </c>
      <c r="K50" s="110">
        <v>6.9000000000000006E-2</v>
      </c>
    </row>
  </sheetData>
  <mergeCells count="11">
    <mergeCell ref="A1:K1"/>
    <mergeCell ref="B2:C2"/>
    <mergeCell ref="D2:E2"/>
    <mergeCell ref="F2:G2"/>
    <mergeCell ref="H2:I2"/>
    <mergeCell ref="J2:K2"/>
    <mergeCell ref="A4:K4"/>
    <mergeCell ref="A16:K16"/>
    <mergeCell ref="A23:K23"/>
    <mergeCell ref="A31:K31"/>
    <mergeCell ref="A37:J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 sheet</vt:lpstr>
      <vt:lpstr>Sheet2</vt:lpstr>
      <vt:lpstr>Peer Sheet</vt:lpstr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v8</cp:lastModifiedBy>
  <cp:lastPrinted>2022-06-20T04:41:26Z</cp:lastPrinted>
  <dcterms:created xsi:type="dcterms:W3CDTF">2017-09-19T08:05:47Z</dcterms:created>
  <dcterms:modified xsi:type="dcterms:W3CDTF">2023-06-09T09:48:06Z</dcterms:modified>
</cp:coreProperties>
</file>