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\Desktop\Valorem\Sheela Foam\Fact Sheet &amp; summary sheet\"/>
    </mc:Choice>
  </mc:AlternateContent>
  <xr:revisionPtr revIDLastSave="0" documentId="13_ncr:1_{81E121A4-17B8-4C3B-BB62-B71E502569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la Foam Income Statement" sheetId="4" r:id="rId1"/>
    <sheet name="Quarterly Operational Performan" sheetId="10" r:id="rId2"/>
    <sheet name="Peer Comparison" sheetId="5" state="hidden" r:id="rId3"/>
    <sheet name="Working" sheetId="6" state="hidden" r:id="rId4"/>
    <sheet name="Peer Comparison ." sheetId="7" state="hidden" r:id="rId5"/>
    <sheet name="Quarterly" sheetId="9" state="hidden" r:id="rId6"/>
    <sheet name="Workin." sheetId="8" state="hidden" r:id="rId7"/>
  </sheets>
  <externalReferences>
    <externalReference r:id="rId8"/>
  </externalReferences>
  <definedNames>
    <definedName name="_xlnm.Print_Area" localSheetId="0">'Sheela Foam Income Statement'!$A$1:$Q$85</definedName>
  </definedNames>
  <calcPr calcId="181029"/>
</workbook>
</file>

<file path=xl/calcChain.xml><?xml version="1.0" encoding="utf-8"?>
<calcChain xmlns="http://schemas.openxmlformats.org/spreadsheetml/2006/main">
  <c r="E60" i="4" l="1"/>
  <c r="F60" i="4"/>
  <c r="M13" i="4"/>
  <c r="N13" i="4"/>
  <c r="N27" i="4"/>
  <c r="N51" i="4"/>
  <c r="N67" i="4"/>
  <c r="N71" i="4"/>
  <c r="N72" i="4"/>
  <c r="F34" i="4"/>
  <c r="U9" i="10"/>
  <c r="U7" i="10"/>
  <c r="M12" i="10"/>
  <c r="F17" i="4"/>
  <c r="F22" i="4"/>
  <c r="F12" i="4"/>
  <c r="F65" i="4"/>
  <c r="B56" i="4"/>
  <c r="C56" i="4"/>
  <c r="D56" i="4"/>
  <c r="E56" i="4"/>
  <c r="F57" i="4"/>
  <c r="F56" i="4"/>
  <c r="F45" i="4"/>
  <c r="F8" i="4"/>
  <c r="F7" i="4"/>
  <c r="F37" i="4"/>
  <c r="R33" i="10"/>
  <c r="S33" i="10"/>
  <c r="T33" i="10"/>
  <c r="T27" i="10"/>
  <c r="T25" i="10"/>
  <c r="T21" i="10"/>
  <c r="T19" i="10"/>
  <c r="T15" i="10"/>
  <c r="T13" i="10"/>
  <c r="T9" i="10"/>
  <c r="T7" i="10"/>
  <c r="E14" i="10"/>
  <c r="F67" i="4" l="1"/>
  <c r="C21" i="4"/>
  <c r="E21" i="4"/>
  <c r="F21" i="4"/>
  <c r="D8" i="4"/>
  <c r="L6" i="10"/>
  <c r="J6" i="10"/>
  <c r="S27" i="10"/>
  <c r="S25" i="10"/>
  <c r="S21" i="10"/>
  <c r="S19" i="10"/>
  <c r="S15" i="10"/>
  <c r="S13" i="10"/>
  <c r="S9" i="10"/>
  <c r="S7" i="10"/>
  <c r="K66" i="4"/>
  <c r="N66" i="4"/>
  <c r="N55" i="4"/>
  <c r="N58" i="4" s="1"/>
  <c r="F59" i="4"/>
  <c r="F61" i="4" s="1"/>
  <c r="F6" i="4"/>
  <c r="F32" i="4" s="1"/>
  <c r="F9" i="4"/>
  <c r="F25" i="4" s="1"/>
  <c r="F28" i="4" s="1"/>
  <c r="F24" i="4"/>
  <c r="E22" i="4"/>
  <c r="F19" i="4"/>
  <c r="F15" i="4"/>
  <c r="F11" i="4"/>
  <c r="N36" i="4"/>
  <c r="N14" i="4"/>
  <c r="N11" i="4"/>
  <c r="N7" i="4"/>
  <c r="N56" i="4" s="1"/>
  <c r="N59" i="4" s="1"/>
  <c r="F30" i="4"/>
  <c r="F13" i="4"/>
  <c r="R10" i="10"/>
  <c r="M71" i="4"/>
  <c r="M66" i="4"/>
  <c r="M55" i="4"/>
  <c r="P29" i="10"/>
  <c r="P23" i="10"/>
  <c r="P17" i="10"/>
  <c r="P11" i="10"/>
  <c r="L31" i="10"/>
  <c r="L28" i="10"/>
  <c r="L26" i="10"/>
  <c r="L22" i="10"/>
  <c r="L20" i="10"/>
  <c r="L16" i="10"/>
  <c r="L14" i="10"/>
  <c r="L10" i="10"/>
  <c r="L8" i="10"/>
  <c r="E55" i="4"/>
  <c r="E57" i="4" s="1"/>
  <c r="M67" i="4"/>
  <c r="L38" i="4"/>
  <c r="E46" i="4"/>
  <c r="E45" i="4"/>
  <c r="E40" i="4"/>
  <c r="E35" i="4"/>
  <c r="E24" i="4"/>
  <c r="E19" i="4"/>
  <c r="E17" i="4"/>
  <c r="E15" i="4"/>
  <c r="E12" i="4"/>
  <c r="E11" i="4"/>
  <c r="E7" i="4"/>
  <c r="E8" i="4"/>
  <c r="E59" i="4"/>
  <c r="E65" i="4"/>
  <c r="E67" i="4"/>
  <c r="L67" i="4" l="1"/>
  <c r="N64" i="4"/>
  <c r="F66" i="4"/>
  <c r="F68" i="4"/>
  <c r="N70" i="4"/>
  <c r="N63" i="4"/>
  <c r="N68" i="4"/>
  <c r="N12" i="4"/>
  <c r="N62" i="4" s="1"/>
  <c r="N50" i="4"/>
  <c r="N44" i="4"/>
  <c r="E61" i="4"/>
  <c r="D13" i="4"/>
  <c r="C13" i="4"/>
  <c r="B13" i="4"/>
  <c r="J71" i="4"/>
  <c r="K71" i="4"/>
  <c r="L71" i="4"/>
  <c r="L66" i="4"/>
  <c r="N60" i="4" l="1"/>
  <c r="F41" i="4"/>
  <c r="F42" i="4" s="1"/>
  <c r="K72" i="4"/>
  <c r="D67" i="4"/>
  <c r="C67" i="4"/>
  <c r="B67" i="4"/>
  <c r="F36" i="4" l="1"/>
  <c r="F38" i="4"/>
  <c r="N61" i="4"/>
  <c r="D7" i="4"/>
  <c r="C7" i="4"/>
  <c r="M13" i="10" l="1"/>
  <c r="O14" i="10" s="1"/>
  <c r="M25" i="10"/>
  <c r="O26" i="10" s="1"/>
  <c r="M30" i="10"/>
  <c r="O30" i="10" s="1"/>
  <c r="M7" i="10"/>
  <c r="O8" i="10" s="1"/>
  <c r="H30" i="10"/>
  <c r="P30" i="10" s="1"/>
  <c r="H25" i="10"/>
  <c r="P26" i="10" s="1"/>
  <c r="H19" i="10"/>
  <c r="P20" i="10" s="1"/>
  <c r="H13" i="10"/>
  <c r="P14" i="10" s="1"/>
  <c r="H7" i="10"/>
  <c r="P8" i="10" s="1"/>
  <c r="C54" i="4"/>
  <c r="C55" i="4"/>
  <c r="C60" i="4"/>
  <c r="K31" i="10"/>
  <c r="J31" i="10"/>
  <c r="I31" i="10"/>
  <c r="G31" i="10"/>
  <c r="F31" i="10"/>
  <c r="E31" i="10"/>
  <c r="K28" i="10"/>
  <c r="J28" i="10"/>
  <c r="I28" i="10"/>
  <c r="G28" i="10"/>
  <c r="F28" i="10"/>
  <c r="E28" i="10"/>
  <c r="K26" i="10"/>
  <c r="J26" i="10"/>
  <c r="I26" i="10"/>
  <c r="G26" i="10"/>
  <c r="F26" i="10"/>
  <c r="E26" i="10"/>
  <c r="K22" i="10"/>
  <c r="J22" i="10"/>
  <c r="I22" i="10"/>
  <c r="G22" i="10"/>
  <c r="F22" i="10"/>
  <c r="E22" i="10"/>
  <c r="K20" i="10"/>
  <c r="J20" i="10"/>
  <c r="I20" i="10"/>
  <c r="G20" i="10"/>
  <c r="F20" i="10"/>
  <c r="E20" i="10"/>
  <c r="K16" i="10"/>
  <c r="J16" i="10"/>
  <c r="I16" i="10"/>
  <c r="G16" i="10"/>
  <c r="F16" i="10"/>
  <c r="E16" i="10"/>
  <c r="K14" i="10"/>
  <c r="J14" i="10"/>
  <c r="I14" i="10"/>
  <c r="G14" i="10"/>
  <c r="F14" i="10"/>
  <c r="K10" i="10"/>
  <c r="J10" i="10"/>
  <c r="I10" i="10"/>
  <c r="G10" i="10"/>
  <c r="F10" i="10"/>
  <c r="E10" i="10"/>
  <c r="K8" i="10"/>
  <c r="J8" i="10"/>
  <c r="I8" i="10"/>
  <c r="G8" i="10"/>
  <c r="F8" i="10"/>
  <c r="E8" i="10"/>
  <c r="I24" i="10"/>
  <c r="G24" i="10"/>
  <c r="F24" i="10"/>
  <c r="E24" i="10"/>
  <c r="D24" i="10"/>
  <c r="I18" i="10"/>
  <c r="G18" i="10"/>
  <c r="F18" i="10"/>
  <c r="E18" i="10"/>
  <c r="D18" i="10"/>
  <c r="I12" i="10"/>
  <c r="G12" i="10"/>
  <c r="F12" i="10"/>
  <c r="E12" i="10"/>
  <c r="D12" i="10"/>
  <c r="I6" i="10"/>
  <c r="G6" i="10"/>
  <c r="F6" i="10"/>
  <c r="E6" i="10"/>
  <c r="D6" i="10"/>
  <c r="J24" i="10"/>
  <c r="J18" i="10"/>
  <c r="J12" i="10"/>
  <c r="K24" i="10"/>
  <c r="K18" i="10"/>
  <c r="K12" i="10"/>
  <c r="K6" i="10"/>
  <c r="H24" i="10" l="1"/>
  <c r="P24" i="10" s="1"/>
  <c r="P9" i="10"/>
  <c r="H6" i="10"/>
  <c r="P6" i="10" s="1"/>
  <c r="P31" i="10"/>
  <c r="P27" i="10"/>
  <c r="P15" i="10"/>
  <c r="H12" i="10"/>
  <c r="P12" i="10" s="1"/>
  <c r="H18" i="10"/>
  <c r="P18" i="10" s="1"/>
  <c r="M6" i="10"/>
  <c r="L12" i="10"/>
  <c r="O12" i="10" s="1"/>
  <c r="L24" i="10"/>
  <c r="M24" i="10" s="1"/>
  <c r="O24" i="10" s="1"/>
  <c r="P25" i="10" s="1"/>
  <c r="L18" i="10"/>
  <c r="M18" i="10" s="1"/>
  <c r="O18" i="10" s="1"/>
  <c r="P19" i="10" s="1"/>
  <c r="M19" i="10"/>
  <c r="O20" i="10" s="1"/>
  <c r="P21" i="10" s="1"/>
  <c r="J33" i="10"/>
  <c r="F33" i="10"/>
  <c r="K33" i="10"/>
  <c r="G33" i="10"/>
  <c r="I33" i="10"/>
  <c r="D33" i="10"/>
  <c r="E33" i="10"/>
  <c r="O6" i="10" l="1"/>
  <c r="O33" i="10" s="1"/>
  <c r="M33" i="10"/>
  <c r="P33" i="10"/>
  <c r="P13" i="10"/>
  <c r="L33" i="10"/>
  <c r="H33" i="10"/>
  <c r="M7" i="4"/>
  <c r="M14" i="4"/>
  <c r="M11" i="4"/>
  <c r="M70" i="4" s="1"/>
  <c r="M36" i="4"/>
  <c r="M51" i="4" s="1"/>
  <c r="J38" i="4"/>
  <c r="P7" i="10" l="1"/>
  <c r="M12" i="4"/>
  <c r="E66" i="4"/>
  <c r="E68" i="4" s="1"/>
  <c r="M64" i="4"/>
  <c r="H35" i="10"/>
  <c r="H37" i="10"/>
  <c r="H36" i="10"/>
  <c r="H38" i="10"/>
  <c r="K38" i="4"/>
  <c r="K67" i="4" s="1"/>
  <c r="K68" i="4" s="1"/>
  <c r="K14" i="4"/>
  <c r="J14" i="4"/>
  <c r="K7" i="4"/>
  <c r="K12" i="4" s="1"/>
  <c r="J7" i="4"/>
  <c r="J12" i="4" s="1"/>
  <c r="L14" i="4"/>
  <c r="L7" i="4"/>
  <c r="L12" i="4" s="1"/>
  <c r="K27" i="4"/>
  <c r="J27" i="4"/>
  <c r="M27" i="4"/>
  <c r="L27" i="4"/>
  <c r="B60" i="4"/>
  <c r="B55" i="4"/>
  <c r="B54" i="4"/>
  <c r="D60" i="4"/>
  <c r="D55" i="4"/>
  <c r="D54" i="4"/>
  <c r="B40" i="4"/>
  <c r="B16" i="4"/>
  <c r="B9" i="4" s="1"/>
  <c r="B25" i="4" s="1"/>
  <c r="C40" i="4"/>
  <c r="C33" i="4"/>
  <c r="C16" i="4"/>
  <c r="C9" i="4" s="1"/>
  <c r="C25" i="4" s="1"/>
  <c r="D40" i="4"/>
  <c r="D30" i="4"/>
  <c r="C30" i="4"/>
  <c r="B30" i="4"/>
  <c r="D24" i="4"/>
  <c r="C24" i="4"/>
  <c r="B24" i="4"/>
  <c r="D19" i="4"/>
  <c r="C19" i="4"/>
  <c r="B19" i="4"/>
  <c r="D15" i="4"/>
  <c r="C15" i="4"/>
  <c r="B15" i="4"/>
  <c r="C11" i="4"/>
  <c r="B11" i="4"/>
  <c r="D11" i="4"/>
  <c r="D12" i="4"/>
  <c r="C12" i="4"/>
  <c r="D16" i="4"/>
  <c r="D9" i="4" s="1"/>
  <c r="D25" i="4" s="1"/>
  <c r="D26" i="4" l="1"/>
  <c r="K62" i="4"/>
  <c r="J62" i="4"/>
  <c r="L62" i="4"/>
  <c r="B34" i="4"/>
  <c r="B37" i="4" s="1"/>
  <c r="B41" i="4" s="1"/>
  <c r="D34" i="4"/>
  <c r="D36" i="4" s="1"/>
  <c r="L72" i="4"/>
  <c r="L68" i="4" s="1"/>
  <c r="M44" i="4"/>
  <c r="N69" i="4" s="1"/>
  <c r="M50" i="4"/>
  <c r="B57" i="4"/>
  <c r="C34" i="4"/>
  <c r="C17" i="4"/>
  <c r="C57" i="4"/>
  <c r="B17" i="4"/>
  <c r="D17" i="4"/>
  <c r="J3" i="9"/>
  <c r="J6" i="9" s="1"/>
  <c r="J5" i="9"/>
  <c r="J10" i="9"/>
  <c r="J12" i="9" s="1"/>
  <c r="J13" i="9"/>
  <c r="J14" i="9"/>
  <c r="J16" i="9"/>
  <c r="J24" i="9"/>
  <c r="J25" i="9"/>
  <c r="F4" i="9"/>
  <c r="G4" i="9"/>
  <c r="E9" i="9"/>
  <c r="E18" i="9" s="1"/>
  <c r="D9" i="9"/>
  <c r="D18" i="9"/>
  <c r="D29" i="9"/>
  <c r="D31" i="9" s="1"/>
  <c r="C9" i="9"/>
  <c r="C18" i="9" s="1"/>
  <c r="F9" i="9"/>
  <c r="F18" i="9" s="1"/>
  <c r="G9" i="9"/>
  <c r="G18" i="9" s="1"/>
  <c r="G41" i="9"/>
  <c r="F41" i="9"/>
  <c r="G40" i="9"/>
  <c r="F40" i="9"/>
  <c r="E40" i="9"/>
  <c r="D40" i="9"/>
  <c r="I35" i="9"/>
  <c r="F35" i="9"/>
  <c r="I34" i="9"/>
  <c r="I30" i="9"/>
  <c r="G15" i="9"/>
  <c r="F15" i="9"/>
  <c r="E15" i="9"/>
  <c r="D15" i="9"/>
  <c r="I14" i="9"/>
  <c r="G14" i="9"/>
  <c r="F14" i="9"/>
  <c r="E14" i="9"/>
  <c r="D14" i="9"/>
  <c r="C14" i="9"/>
  <c r="G12" i="9"/>
  <c r="F12" i="9"/>
  <c r="E12" i="9"/>
  <c r="D12" i="9"/>
  <c r="I11" i="9"/>
  <c r="G11" i="9"/>
  <c r="F11" i="9"/>
  <c r="E11" i="9"/>
  <c r="D11" i="9"/>
  <c r="C11" i="9"/>
  <c r="I9" i="9"/>
  <c r="I18" i="9" s="1"/>
  <c r="B9" i="9"/>
  <c r="B18" i="9" s="1"/>
  <c r="I6" i="9"/>
  <c r="G6" i="9"/>
  <c r="I7" i="9" s="1"/>
  <c r="F6" i="9"/>
  <c r="E6" i="9"/>
  <c r="D6" i="9"/>
  <c r="C6" i="9"/>
  <c r="D7" i="9" s="1"/>
  <c r="B6" i="9"/>
  <c r="B7" i="9" s="1"/>
  <c r="F7" i="9"/>
  <c r="G8" i="9"/>
  <c r="E8" i="9"/>
  <c r="D22" i="9"/>
  <c r="E7" i="9"/>
  <c r="I8" i="9"/>
  <c r="D21" i="4"/>
  <c r="B21" i="4"/>
  <c r="D22" i="4"/>
  <c r="C22" i="4"/>
  <c r="M58" i="4"/>
  <c r="M65" i="4"/>
  <c r="D28" i="4"/>
  <c r="L36" i="4"/>
  <c r="L11" i="4"/>
  <c r="L70" i="4" s="1"/>
  <c r="G24" i="7"/>
  <c r="G9" i="7"/>
  <c r="G7" i="7"/>
  <c r="G5" i="7"/>
  <c r="D65" i="4"/>
  <c r="G27" i="7" s="1"/>
  <c r="D59" i="4"/>
  <c r="L55" i="4"/>
  <c r="L58" i="4" s="1"/>
  <c r="G32" i="7" s="1"/>
  <c r="L65" i="4"/>
  <c r="L50" i="4"/>
  <c r="D45" i="4"/>
  <c r="D6" i="4"/>
  <c r="B20" i="7"/>
  <c r="B19" i="7"/>
  <c r="B13" i="7"/>
  <c r="B7" i="7"/>
  <c r="B5" i="7"/>
  <c r="N50" i="8"/>
  <c r="M50" i="8"/>
  <c r="L50" i="8"/>
  <c r="K50" i="8"/>
  <c r="J50" i="8"/>
  <c r="N49" i="8"/>
  <c r="M49" i="8"/>
  <c r="L49" i="8"/>
  <c r="K49" i="8"/>
  <c r="J49" i="8"/>
  <c r="N45" i="8"/>
  <c r="M45" i="8"/>
  <c r="L45" i="8"/>
  <c r="K45" i="8"/>
  <c r="K46" i="8" s="1"/>
  <c r="J45" i="8"/>
  <c r="J46" i="8" s="1"/>
  <c r="N44" i="8"/>
  <c r="M44" i="8"/>
  <c r="M46" i="8" s="1"/>
  <c r="L44" i="8"/>
  <c r="K44" i="8"/>
  <c r="J44" i="8"/>
  <c r="N43" i="8"/>
  <c r="M43" i="8"/>
  <c r="L43" i="8"/>
  <c r="K43" i="8"/>
  <c r="J43" i="8"/>
  <c r="N42" i="8"/>
  <c r="M42" i="8"/>
  <c r="L42" i="8"/>
  <c r="K42" i="8"/>
  <c r="J42" i="8"/>
  <c r="N37" i="8"/>
  <c r="M37" i="8"/>
  <c r="L37" i="8"/>
  <c r="K37" i="8"/>
  <c r="J37" i="8"/>
  <c r="N33" i="8"/>
  <c r="N35" i="8" s="1"/>
  <c r="M33" i="8"/>
  <c r="M35" i="8"/>
  <c r="L33" i="8"/>
  <c r="L35" i="8" s="1"/>
  <c r="K33" i="8"/>
  <c r="K35" i="8" s="1"/>
  <c r="J33" i="8"/>
  <c r="J35" i="8" s="1"/>
  <c r="N32" i="8"/>
  <c r="N34" i="8"/>
  <c r="M32" i="8"/>
  <c r="M34" i="8" s="1"/>
  <c r="L32" i="8"/>
  <c r="L34" i="8"/>
  <c r="K32" i="8"/>
  <c r="K34" i="8" s="1"/>
  <c r="J32" i="8"/>
  <c r="J34" i="8"/>
  <c r="N29" i="8"/>
  <c r="N30" i="8" s="1"/>
  <c r="N36" i="8" s="1"/>
  <c r="M29" i="8"/>
  <c r="L29" i="8"/>
  <c r="K29" i="8"/>
  <c r="J29" i="8"/>
  <c r="N27" i="8"/>
  <c r="M27" i="8"/>
  <c r="L27" i="8"/>
  <c r="K27" i="8"/>
  <c r="K30" i="8" s="1"/>
  <c r="J27" i="8"/>
  <c r="G27" i="8"/>
  <c r="F27" i="8"/>
  <c r="E27" i="8"/>
  <c r="D27" i="8"/>
  <c r="C27" i="8"/>
  <c r="B27" i="8"/>
  <c r="N20" i="8"/>
  <c r="N47" i="8" s="1"/>
  <c r="M20" i="8"/>
  <c r="M47" i="8" s="1"/>
  <c r="L20" i="8"/>
  <c r="L47" i="8" s="1"/>
  <c r="K20" i="8"/>
  <c r="K47" i="8" s="1"/>
  <c r="J20" i="8"/>
  <c r="J47" i="8" s="1"/>
  <c r="G13" i="8"/>
  <c r="F13" i="8"/>
  <c r="E13" i="8"/>
  <c r="D13" i="8"/>
  <c r="C13" i="8"/>
  <c r="B13" i="8"/>
  <c r="B14" i="8" s="1"/>
  <c r="G12" i="8"/>
  <c r="G14" i="8" s="1"/>
  <c r="F12" i="8"/>
  <c r="F14" i="8" s="1"/>
  <c r="E12" i="8"/>
  <c r="D12" i="8"/>
  <c r="D14" i="8"/>
  <c r="C12" i="8"/>
  <c r="B12" i="8"/>
  <c r="N9" i="8"/>
  <c r="N38" i="8"/>
  <c r="M9" i="8"/>
  <c r="M38" i="8"/>
  <c r="L9" i="8"/>
  <c r="L38" i="8"/>
  <c r="K9" i="8"/>
  <c r="K38" i="8"/>
  <c r="J9" i="8"/>
  <c r="J38" i="8"/>
  <c r="N8" i="8"/>
  <c r="N40" i="8" s="1"/>
  <c r="N28" i="8"/>
  <c r="M8" i="8"/>
  <c r="M48" i="8" s="1"/>
  <c r="M28" i="8"/>
  <c r="M30" i="8" s="1"/>
  <c r="M36" i="8" s="1"/>
  <c r="L8" i="8"/>
  <c r="L48" i="8" s="1"/>
  <c r="K8" i="8"/>
  <c r="K40" i="8"/>
  <c r="J8" i="8"/>
  <c r="J40" i="8" s="1"/>
  <c r="J28" i="8"/>
  <c r="G7" i="8"/>
  <c r="F7" i="8"/>
  <c r="E7" i="8"/>
  <c r="D7" i="8"/>
  <c r="C7" i="8"/>
  <c r="B7" i="8"/>
  <c r="B46" i="7"/>
  <c r="E9" i="7"/>
  <c r="D12" i="7"/>
  <c r="C12" i="7"/>
  <c r="C14" i="8"/>
  <c r="E12" i="7"/>
  <c r="K28" i="8"/>
  <c r="J39" i="8"/>
  <c r="N39" i="8"/>
  <c r="M40" i="8"/>
  <c r="J48" i="8"/>
  <c r="N48" i="8"/>
  <c r="K39" i="8"/>
  <c r="K48" i="8"/>
  <c r="C9" i="7"/>
  <c r="D9" i="7"/>
  <c r="C59" i="4"/>
  <c r="B24" i="7" s="1"/>
  <c r="B59" i="4"/>
  <c r="B61" i="4" s="1"/>
  <c r="C65" i="4"/>
  <c r="B27" i="7" s="1"/>
  <c r="B46" i="5"/>
  <c r="K65" i="4"/>
  <c r="K11" i="4"/>
  <c r="K70" i="4" s="1"/>
  <c r="K36" i="4"/>
  <c r="K55" i="4"/>
  <c r="K58" i="4" s="1"/>
  <c r="B32" i="7" s="1"/>
  <c r="C45" i="4"/>
  <c r="C6" i="4"/>
  <c r="C28" i="4"/>
  <c r="B9" i="7" s="1"/>
  <c r="D20" i="5"/>
  <c r="E20" i="5"/>
  <c r="F20" i="5"/>
  <c r="C20" i="5"/>
  <c r="D19" i="5"/>
  <c r="E19" i="5"/>
  <c r="F19" i="5"/>
  <c r="C19" i="5"/>
  <c r="D17" i="5"/>
  <c r="E17" i="5"/>
  <c r="F17" i="5"/>
  <c r="C17" i="5"/>
  <c r="D13" i="5"/>
  <c r="E13" i="5"/>
  <c r="F13" i="5"/>
  <c r="C13" i="5"/>
  <c r="D10" i="5"/>
  <c r="E10" i="5"/>
  <c r="F10" i="5"/>
  <c r="C10" i="5"/>
  <c r="D5" i="5"/>
  <c r="D12" i="5" s="1"/>
  <c r="E5" i="5"/>
  <c r="F5" i="5"/>
  <c r="C5" i="5"/>
  <c r="B20" i="5"/>
  <c r="B19" i="5"/>
  <c r="B13" i="5"/>
  <c r="E12" i="5"/>
  <c r="C12" i="5"/>
  <c r="N50" i="6"/>
  <c r="F51" i="5" s="1"/>
  <c r="M50" i="6"/>
  <c r="E51" i="5" s="1"/>
  <c r="L50" i="6"/>
  <c r="D51" i="5" s="1"/>
  <c r="K50" i="6"/>
  <c r="C51" i="5" s="1"/>
  <c r="J50" i="6"/>
  <c r="N49" i="6"/>
  <c r="F43" i="5" s="1"/>
  <c r="M49" i="6"/>
  <c r="E43" i="5"/>
  <c r="L49" i="6"/>
  <c r="D43" i="5"/>
  <c r="K49" i="6"/>
  <c r="C43" i="5"/>
  <c r="J49" i="6"/>
  <c r="N45" i="6"/>
  <c r="F45" i="5" s="1"/>
  <c r="M45" i="6"/>
  <c r="E45" i="5" s="1"/>
  <c r="L45" i="6"/>
  <c r="D45" i="5" s="1"/>
  <c r="K45" i="6"/>
  <c r="C45" i="5" s="1"/>
  <c r="J45" i="6"/>
  <c r="N44" i="6"/>
  <c r="F46" i="5"/>
  <c r="M44" i="6"/>
  <c r="E46" i="5" s="1"/>
  <c r="L44" i="6"/>
  <c r="D46" i="5"/>
  <c r="K44" i="6"/>
  <c r="C46" i="5"/>
  <c r="J44" i="6"/>
  <c r="N43" i="6"/>
  <c r="M43" i="6"/>
  <c r="E44" i="5" s="1"/>
  <c r="L43" i="6"/>
  <c r="L46" i="6" s="1"/>
  <c r="D47" i="5" s="1"/>
  <c r="K43" i="6"/>
  <c r="C44" i="5"/>
  <c r="J43" i="6"/>
  <c r="J46" i="6" s="1"/>
  <c r="N42" i="6"/>
  <c r="F33" i="5"/>
  <c r="M42" i="6"/>
  <c r="E33" i="5" s="1"/>
  <c r="L42" i="6"/>
  <c r="D33" i="5"/>
  <c r="K42" i="6"/>
  <c r="C33" i="5"/>
  <c r="J42" i="6"/>
  <c r="N37" i="6"/>
  <c r="F41" i="5" s="1"/>
  <c r="M37" i="6"/>
  <c r="E41" i="5" s="1"/>
  <c r="L37" i="6"/>
  <c r="D41" i="5" s="1"/>
  <c r="K37" i="6"/>
  <c r="C41" i="5" s="1"/>
  <c r="J37" i="6"/>
  <c r="N33" i="6"/>
  <c r="M33" i="6"/>
  <c r="E40" i="5" s="1"/>
  <c r="L33" i="6"/>
  <c r="D40" i="5" s="1"/>
  <c r="K33" i="6"/>
  <c r="J33" i="6"/>
  <c r="J35" i="6" s="1"/>
  <c r="N32" i="6"/>
  <c r="N34" i="6" s="1"/>
  <c r="F32" i="5" s="1"/>
  <c r="M32" i="6"/>
  <c r="M34" i="6"/>
  <c r="E32" i="5" s="1"/>
  <c r="L32" i="6"/>
  <c r="L34" i="6" s="1"/>
  <c r="D32" i="5" s="1"/>
  <c r="K32" i="6"/>
  <c r="K34" i="6"/>
  <c r="C32" i="5" s="1"/>
  <c r="J32" i="6"/>
  <c r="J34" i="6" s="1"/>
  <c r="N29" i="6"/>
  <c r="M29" i="6"/>
  <c r="L29" i="6"/>
  <c r="K29" i="6"/>
  <c r="J29" i="6"/>
  <c r="N27" i="6"/>
  <c r="M27" i="6"/>
  <c r="E27" i="5" s="1"/>
  <c r="L27" i="6"/>
  <c r="D27" i="5" s="1"/>
  <c r="K27" i="6"/>
  <c r="C27" i="5" s="1"/>
  <c r="J27" i="6"/>
  <c r="G27" i="6"/>
  <c r="F27" i="6"/>
  <c r="F11" i="5" s="1"/>
  <c r="E27" i="6"/>
  <c r="E11" i="5"/>
  <c r="D27" i="6"/>
  <c r="D11" i="5" s="1"/>
  <c r="C27" i="6"/>
  <c r="C11" i="5" s="1"/>
  <c r="B27" i="6"/>
  <c r="N20" i="6"/>
  <c r="N47" i="6"/>
  <c r="F48" i="5" s="1"/>
  <c r="M20" i="6"/>
  <c r="M47" i="6" s="1"/>
  <c r="E48" i="5" s="1"/>
  <c r="L20" i="6"/>
  <c r="L47" i="6" s="1"/>
  <c r="D48" i="5" s="1"/>
  <c r="K20" i="6"/>
  <c r="K47" i="6" s="1"/>
  <c r="C48" i="5" s="1"/>
  <c r="J20" i="6"/>
  <c r="J47" i="6"/>
  <c r="G13" i="6"/>
  <c r="F13" i="6"/>
  <c r="E13" i="6"/>
  <c r="D13" i="6"/>
  <c r="C13" i="6"/>
  <c r="B13" i="6"/>
  <c r="G12" i="6"/>
  <c r="G14" i="6"/>
  <c r="F12" i="6"/>
  <c r="F7" i="5" s="1"/>
  <c r="F9" i="5" s="1"/>
  <c r="E12" i="6"/>
  <c r="E7" i="5" s="1"/>
  <c r="E9" i="5" s="1"/>
  <c r="D12" i="6"/>
  <c r="D7" i="5" s="1"/>
  <c r="D9" i="5" s="1"/>
  <c r="C12" i="6"/>
  <c r="B12" i="6"/>
  <c r="N9" i="6"/>
  <c r="N38" i="6" s="1"/>
  <c r="F42" i="5" s="1"/>
  <c r="M9" i="6"/>
  <c r="M38" i="6"/>
  <c r="E42" i="5" s="1"/>
  <c r="L9" i="6"/>
  <c r="L38" i="6" s="1"/>
  <c r="D42" i="5" s="1"/>
  <c r="K9" i="6"/>
  <c r="K38" i="6"/>
  <c r="C42" i="5" s="1"/>
  <c r="J9" i="6"/>
  <c r="J38" i="6" s="1"/>
  <c r="N8" i="6"/>
  <c r="N28" i="6" s="1"/>
  <c r="M8" i="6"/>
  <c r="M28" i="6" s="1"/>
  <c r="L8" i="6"/>
  <c r="L40" i="6" s="1"/>
  <c r="D50" i="5" s="1"/>
  <c r="L48" i="6"/>
  <c r="D52" i="5" s="1"/>
  <c r="K8" i="6"/>
  <c r="K40" i="6" s="1"/>
  <c r="C50" i="5" s="1"/>
  <c r="J8" i="6"/>
  <c r="J48" i="6" s="1"/>
  <c r="J28" i="6"/>
  <c r="J30" i="6" s="1"/>
  <c r="J36" i="6" s="1"/>
  <c r="G7" i="6"/>
  <c r="F7" i="6"/>
  <c r="F6" i="5" s="1"/>
  <c r="E7" i="6"/>
  <c r="E6" i="5" s="1"/>
  <c r="D7" i="6"/>
  <c r="D6" i="5" s="1"/>
  <c r="C7" i="6"/>
  <c r="C6" i="5" s="1"/>
  <c r="B7" i="6"/>
  <c r="N35" i="6"/>
  <c r="F34" i="5" s="1"/>
  <c r="F40" i="5"/>
  <c r="F27" i="5"/>
  <c r="K35" i="6"/>
  <c r="C34" i="5"/>
  <c r="C40" i="5"/>
  <c r="M39" i="6"/>
  <c r="E49" i="5" s="1"/>
  <c r="B14" i="6"/>
  <c r="L35" i="6"/>
  <c r="D34" i="5" s="1"/>
  <c r="M35" i="6"/>
  <c r="E34" i="5" s="1"/>
  <c r="C14" i="6"/>
  <c r="C8" i="5"/>
  <c r="C7" i="5"/>
  <c r="C9" i="5"/>
  <c r="L28" i="6"/>
  <c r="L30" i="6"/>
  <c r="J39" i="6"/>
  <c r="N39" i="6"/>
  <c r="F49" i="5" s="1"/>
  <c r="B45" i="5"/>
  <c r="J65" i="4"/>
  <c r="B65" i="4"/>
  <c r="B27" i="5" s="1"/>
  <c r="J50" i="4"/>
  <c r="J56" i="4"/>
  <c r="J59" i="4" s="1"/>
  <c r="B34" i="5" s="1"/>
  <c r="J55" i="4"/>
  <c r="J58" i="4" s="1"/>
  <c r="B32" i="5" s="1"/>
  <c r="J36" i="4"/>
  <c r="J11" i="4"/>
  <c r="J70" i="4" s="1"/>
  <c r="B52" i="5" s="1"/>
  <c r="B28" i="4"/>
  <c r="B9" i="5" s="1"/>
  <c r="B6" i="4"/>
  <c r="J66" i="4" s="1"/>
  <c r="B8" i="7"/>
  <c r="B7" i="5"/>
  <c r="C26" i="4"/>
  <c r="I29" i="9" l="1"/>
  <c r="I22" i="9"/>
  <c r="N46" i="6"/>
  <c r="F47" i="5" s="1"/>
  <c r="L28" i="8"/>
  <c r="L30" i="8" s="1"/>
  <c r="L36" i="8" s="1"/>
  <c r="L40" i="8"/>
  <c r="D44" i="5"/>
  <c r="F14" i="6"/>
  <c r="M39" i="8"/>
  <c r="E14" i="8"/>
  <c r="L51" i="4"/>
  <c r="L39" i="6"/>
  <c r="D49" i="5" s="1"/>
  <c r="N40" i="6"/>
  <c r="F50" i="5" s="1"/>
  <c r="J40" i="6"/>
  <c r="J30" i="8"/>
  <c r="J36" i="8" s="1"/>
  <c r="K48" i="6"/>
  <c r="C52" i="5" s="1"/>
  <c r="D14" i="6"/>
  <c r="N48" i="6"/>
  <c r="F52" i="5" s="1"/>
  <c r="L36" i="6"/>
  <c r="D35" i="5" s="1"/>
  <c r="E14" i="6"/>
  <c r="D32" i="9"/>
  <c r="N30" i="6"/>
  <c r="N36" i="6" s="1"/>
  <c r="F35" i="5" s="1"/>
  <c r="L46" i="8"/>
  <c r="K36" i="8"/>
  <c r="F12" i="5"/>
  <c r="L39" i="8"/>
  <c r="N46" i="8"/>
  <c r="G7" i="9"/>
  <c r="B29" i="9"/>
  <c r="B22" i="9"/>
  <c r="G22" i="9"/>
  <c r="G21" i="9"/>
  <c r="G29" i="9"/>
  <c r="G19" i="9"/>
  <c r="F22" i="9"/>
  <c r="F19" i="9"/>
  <c r="F21" i="9"/>
  <c r="F29" i="9"/>
  <c r="I31" i="9"/>
  <c r="I32" i="9"/>
  <c r="J8" i="9"/>
  <c r="J7" i="9"/>
  <c r="D19" i="9"/>
  <c r="C19" i="9"/>
  <c r="C29" i="9"/>
  <c r="C22" i="9"/>
  <c r="E22" i="9"/>
  <c r="E19" i="9"/>
  <c r="E21" i="9"/>
  <c r="E29" i="9"/>
  <c r="F44" i="5"/>
  <c r="F8" i="9"/>
  <c r="J9" i="9"/>
  <c r="J18" i="9" s="1"/>
  <c r="K28" i="6"/>
  <c r="K30" i="6" s="1"/>
  <c r="K36" i="6" s="1"/>
  <c r="C35" i="5" s="1"/>
  <c r="M40" i="6"/>
  <c r="E50" i="5" s="1"/>
  <c r="M46" i="6"/>
  <c r="E47" i="5" s="1"/>
  <c r="M48" i="6"/>
  <c r="E52" i="5" s="1"/>
  <c r="M30" i="6"/>
  <c r="M36" i="6" s="1"/>
  <c r="E35" i="5" s="1"/>
  <c r="J11" i="9"/>
  <c r="K39" i="6"/>
  <c r="C49" i="5" s="1"/>
  <c r="K46" i="6"/>
  <c r="C47" i="5" s="1"/>
  <c r="B36" i="4"/>
  <c r="D37" i="4"/>
  <c r="G10" i="7" s="1"/>
  <c r="C36" i="4"/>
  <c r="B66" i="4"/>
  <c r="B68" i="4" s="1"/>
  <c r="B28" i="5" s="1"/>
  <c r="J64" i="4"/>
  <c r="B50" i="5" s="1"/>
  <c r="C66" i="4"/>
  <c r="C68" i="4" s="1"/>
  <c r="K60" i="4" s="1"/>
  <c r="B35" i="7" s="1"/>
  <c r="K64" i="4"/>
  <c r="B50" i="7" s="1"/>
  <c r="L64" i="4"/>
  <c r="D66" i="4"/>
  <c r="D68" i="4" s="1"/>
  <c r="G28" i="7" s="1"/>
  <c r="C37" i="4"/>
  <c r="C41" i="4" s="1"/>
  <c r="B5" i="5"/>
  <c r="B32" i="4"/>
  <c r="D32" i="4"/>
  <c r="C32" i="4"/>
  <c r="D61" i="4"/>
  <c r="L44" i="4"/>
  <c r="M69" i="4" s="1"/>
  <c r="M63" i="4"/>
  <c r="J63" i="4"/>
  <c r="B49" i="5" s="1"/>
  <c r="B6" i="5"/>
  <c r="L56" i="4"/>
  <c r="L59" i="4" s="1"/>
  <c r="G34" i="7" s="1"/>
  <c r="L63" i="4"/>
  <c r="J44" i="4"/>
  <c r="B47" i="7"/>
  <c r="K44" i="4"/>
  <c r="C61" i="4"/>
  <c r="B25" i="7" s="1"/>
  <c r="B38" i="4"/>
  <c r="B12" i="5" s="1"/>
  <c r="J61" i="4"/>
  <c r="B41" i="5" s="1"/>
  <c r="B6" i="7"/>
  <c r="B43" i="5"/>
  <c r="B8" i="5"/>
  <c r="K63" i="4"/>
  <c r="B49" i="7" s="1"/>
  <c r="K51" i="4"/>
  <c r="G17" i="7"/>
  <c r="B10" i="5"/>
  <c r="B40" i="5"/>
  <c r="K56" i="4"/>
  <c r="B17" i="7"/>
  <c r="M56" i="4"/>
  <c r="M59" i="4" s="1"/>
  <c r="J51" i="4"/>
  <c r="B17" i="5"/>
  <c r="K50" i="4"/>
  <c r="L61" i="4" l="1"/>
  <c r="D36" i="9"/>
  <c r="D33" i="9"/>
  <c r="E31" i="9"/>
  <c r="E32" i="9"/>
  <c r="F31" i="9"/>
  <c r="F32" i="9"/>
  <c r="J22" i="9"/>
  <c r="J29" i="9"/>
  <c r="C31" i="9"/>
  <c r="C32" i="9"/>
  <c r="I36" i="9"/>
  <c r="I33" i="9"/>
  <c r="G31" i="9"/>
  <c r="J30" i="9" s="1"/>
  <c r="J31" i="9" s="1"/>
  <c r="G32" i="9"/>
  <c r="B32" i="9"/>
  <c r="B31" i="9"/>
  <c r="J69" i="4"/>
  <c r="B48" i="5" s="1"/>
  <c r="J13" i="4"/>
  <c r="K69" i="4"/>
  <c r="L13" i="4"/>
  <c r="K13" i="4"/>
  <c r="L69" i="4"/>
  <c r="B42" i="7"/>
  <c r="B42" i="5"/>
  <c r="K61" i="4"/>
  <c r="B41" i="7" s="1"/>
  <c r="B10" i="7"/>
  <c r="D41" i="4"/>
  <c r="D42" i="4" s="1"/>
  <c r="D38" i="4"/>
  <c r="G12" i="7" s="1"/>
  <c r="B44" i="5"/>
  <c r="C38" i="4"/>
  <c r="B12" i="7" s="1"/>
  <c r="B44" i="7"/>
  <c r="J60" i="4"/>
  <c r="B35" i="5" s="1"/>
  <c r="L60" i="4"/>
  <c r="G35" i="7" s="1"/>
  <c r="J68" i="4"/>
  <c r="B47" i="5" s="1"/>
  <c r="C42" i="4"/>
  <c r="B40" i="7"/>
  <c r="K59" i="4"/>
  <c r="B34" i="7" s="1"/>
  <c r="F33" i="9" l="1"/>
  <c r="F36" i="9"/>
  <c r="J32" i="9"/>
  <c r="J33" i="9" s="1"/>
  <c r="E36" i="9"/>
  <c r="E33" i="9"/>
  <c r="G33" i="9"/>
  <c r="G36" i="9"/>
  <c r="C36" i="9"/>
  <c r="C33" i="9"/>
  <c r="B36" i="9"/>
  <c r="B33" i="9"/>
  <c r="B11" i="7"/>
  <c r="C37" i="9" l="1"/>
  <c r="D37" i="9"/>
  <c r="E38" i="9"/>
  <c r="E37" i="9"/>
  <c r="G37" i="9"/>
  <c r="G38" i="9"/>
  <c r="F37" i="9"/>
  <c r="F38" i="9"/>
  <c r="D57" i="4"/>
  <c r="E6" i="4" l="1"/>
  <c r="E32" i="4" s="1"/>
  <c r="E30" i="4"/>
  <c r="E13" i="4" l="1"/>
  <c r="E9" i="4" l="1"/>
  <c r="E25" i="4" l="1"/>
  <c r="M60" i="4" s="1"/>
  <c r="E28" i="4"/>
  <c r="E34" i="4" l="1"/>
  <c r="E36" i="4" s="1"/>
  <c r="E26" i="4"/>
  <c r="F26" i="4"/>
  <c r="M62" i="4"/>
  <c r="M72" i="4"/>
  <c r="M68" i="4" s="1"/>
  <c r="E37" i="4"/>
  <c r="E41" i="4" l="1"/>
  <c r="E42" i="4" s="1"/>
  <c r="M61" i="4"/>
  <c r="E3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tc={262EE705-F68C-42A1-8750-F20EE0F10593}</author>
  </authors>
  <commentList>
    <comment ref="J5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Average of Last 3 years FY19-FY21</t>
        </r>
      </text>
    </comment>
  </commentList>
</comments>
</file>

<file path=xl/sharedStrings.xml><?xml version="1.0" encoding="utf-8"?>
<sst xmlns="http://schemas.openxmlformats.org/spreadsheetml/2006/main" count="530" uniqueCount="264">
  <si>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</si>
  <si>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</si>
  <si>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</si>
  <si>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</si>
  <si>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</si>
  <si>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</si>
  <si>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</si>
  <si>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</si>
  <si>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</si>
  <si>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</si>
  <si>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</si>
  <si>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</si>
  <si>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</si>
  <si>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</si>
  <si>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</si>
  <si>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</si>
  <si>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</si>
  <si>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</si>
  <si>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</si>
  <si>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</si>
  <si>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</si>
  <si>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 xml:space="preserve">Operating Cash Inflow </t>
  </si>
  <si>
    <t>Capital Expenditure</t>
  </si>
  <si>
    <t>FCF</t>
  </si>
  <si>
    <t xml:space="preserve"> 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</si>
  <si>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</si>
  <si>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</si>
  <si>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</si>
  <si>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</si>
  <si>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</si>
  <si>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</si>
  <si>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</si>
  <si>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</si>
  <si>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</si>
  <si>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Cash &amp; Bank Balances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</si>
  <si>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</si>
  <si>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</si>
  <si>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</si>
  <si>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</si>
  <si>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</si>
  <si>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</si>
  <si>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</si>
  <si>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</si>
  <si>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</si>
  <si>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</si>
  <si>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</si>
  <si>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</si>
  <si>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</si>
  <si>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</si>
  <si>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</si>
  <si>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</si>
  <si>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</si>
  <si>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</si>
  <si>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</si>
  <si>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</si>
  <si>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</si>
  <si>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</si>
  <si>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</si>
  <si>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</si>
  <si>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</si>
  <si>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</si>
  <si>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</si>
  <si>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</si>
  <si>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</si>
  <si>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</si>
  <si>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</si>
  <si>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Interest Cost</t>
  </si>
  <si>
    <t>Gross Block</t>
  </si>
  <si>
    <t>TOTAL ASSETS</t>
  </si>
  <si>
    <t>TOTAL LIABILITIES</t>
  </si>
  <si>
    <t>Balance Sheet</t>
  </si>
  <si>
    <t>Income Statement</t>
  </si>
  <si>
    <t>Diluted EPS</t>
  </si>
  <si>
    <t>FY19</t>
  </si>
  <si>
    <t>CAGR (%) - 3 Years</t>
  </si>
  <si>
    <t>CAGR (%)- 3 Years</t>
  </si>
  <si>
    <t>Peer Comparison Analysis - BCL Industries Ltd.</t>
  </si>
  <si>
    <t>BCL - FY19</t>
  </si>
  <si>
    <t>Gokul Agro</t>
  </si>
  <si>
    <t>Gokul Agro-FY19</t>
  </si>
  <si>
    <t>IFB Agro</t>
  </si>
  <si>
    <t>IFB Agro-FY19</t>
  </si>
  <si>
    <t>Ruchi Soya-FY19</t>
  </si>
  <si>
    <t>Globus Spirits</t>
  </si>
  <si>
    <t>Globus Spirits-FY19</t>
  </si>
  <si>
    <t>P&amp;L Comparision (As on FY19)</t>
  </si>
  <si>
    <t>3 Years CAGR (%)</t>
  </si>
  <si>
    <t>EBITDA Margin (%)</t>
  </si>
  <si>
    <t>PAT Margin (%)</t>
  </si>
  <si>
    <t>EPS</t>
  </si>
  <si>
    <t>Balance Sheet Comparision</t>
  </si>
  <si>
    <t>Total Networth</t>
  </si>
  <si>
    <t>Long Term</t>
  </si>
  <si>
    <t>Short Term</t>
  </si>
  <si>
    <t>CFO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</si>
  <si>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</si>
  <si>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</si>
  <si>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</si>
  <si>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</si>
  <si>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</si>
  <si>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</si>
  <si>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</si>
  <si>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</si>
  <si>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</si>
  <si>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</si>
  <si>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</si>
  <si>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</si>
  <si>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</si>
  <si>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</si>
  <si>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</si>
  <si>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</si>
  <si>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</si>
  <si>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</si>
  <si>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Net Sales(INR MN)</t>
  </si>
  <si>
    <t>Enterprise Value(Mn)</t>
  </si>
  <si>
    <t>Peer Analysis FY19</t>
  </si>
  <si>
    <t>BCL Industries</t>
  </si>
  <si>
    <t xml:space="preserve">BCL </t>
  </si>
  <si>
    <t xml:space="preserve">Ruchi Soya </t>
  </si>
  <si>
    <t>Peer 5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</si>
  <si>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</si>
  <si>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</si>
  <si>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</si>
  <si>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</si>
  <si>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</si>
  <si>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</si>
  <si>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</si>
  <si>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</si>
  <si>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</si>
  <si>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</si>
  <si>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</si>
  <si>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</si>
  <si>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</si>
  <si>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</si>
  <si>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</si>
  <si>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</si>
  <si>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</si>
  <si>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</si>
  <si>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</si>
  <si>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</si>
  <si>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</si>
  <si>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</si>
  <si>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</si>
  <si>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</si>
  <si>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</si>
  <si>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</si>
  <si>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</si>
  <si>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</si>
  <si>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</si>
  <si>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Income Statement(INR Mn)</t>
  </si>
  <si>
    <t>Advertisement and business promotion expense</t>
  </si>
  <si>
    <t>Property plant and equipment</t>
  </si>
  <si>
    <t>other non current assets</t>
  </si>
  <si>
    <t>other current assets</t>
  </si>
  <si>
    <t>financial liabilities - lease liabilities</t>
  </si>
  <si>
    <t>Interest income</t>
  </si>
  <si>
    <t>FY20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</si>
  <si>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</si>
  <si>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</si>
  <si>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</si>
  <si>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</si>
  <si>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</si>
  <si>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</si>
  <si>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</si>
  <si>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</si>
  <si>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</si>
  <si>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</si>
  <si>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</si>
  <si>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P&amp;L Comparision (As on FY20)</t>
  </si>
  <si>
    <t>Dividend Yield (%)</t>
  </si>
  <si>
    <t>Matrimony FY20</t>
  </si>
  <si>
    <t>Info Edge FY20</t>
  </si>
  <si>
    <t>Just Dial FY20</t>
  </si>
  <si>
    <t>Indiamart FY20</t>
  </si>
  <si>
    <t>NA</t>
  </si>
  <si>
    <t>Fixed Asset Turnover (%)</t>
  </si>
  <si>
    <t>Matrimony H1-FY21</t>
  </si>
  <si>
    <t>Info Edge H1-FY21</t>
  </si>
  <si>
    <t>Just Dial H1-FY21</t>
  </si>
  <si>
    <t>Indiamart H1-FY21</t>
  </si>
  <si>
    <t>Other Expenses</t>
  </si>
  <si>
    <t>FY21</t>
  </si>
  <si>
    <t>Net Current Assets</t>
  </si>
  <si>
    <t>Q1FY22</t>
  </si>
  <si>
    <t>H1FY22</t>
  </si>
  <si>
    <t>Deffered Tax Liability (net)</t>
  </si>
  <si>
    <t>Q3FY21</t>
  </si>
  <si>
    <t>Q4FY21</t>
  </si>
  <si>
    <t>Q2FY22</t>
  </si>
  <si>
    <t>FY22E</t>
  </si>
  <si>
    <t>% Revenue</t>
  </si>
  <si>
    <t>Q1FY21</t>
  </si>
  <si>
    <t>Q2FY21</t>
  </si>
  <si>
    <t>Share of Profit/Loss from Associates</t>
  </si>
  <si>
    <t>Total Income</t>
  </si>
  <si>
    <t>Growth (%) YoY</t>
  </si>
  <si>
    <t>Sheela Foam Ltd (Consolidated)</t>
  </si>
  <si>
    <t>Cost of Material Consumed</t>
  </si>
  <si>
    <t>Purchase of Stock in Trade</t>
  </si>
  <si>
    <t>Other Manufacturing Expenses</t>
  </si>
  <si>
    <t>Chanes in Inventory of Finished Goodl Stock in trade</t>
  </si>
  <si>
    <t xml:space="preserve">% Growth </t>
  </si>
  <si>
    <t>Capital Work in Progress</t>
  </si>
  <si>
    <t>Right use of Assets</t>
  </si>
  <si>
    <t>Investment Property</t>
  </si>
  <si>
    <t>Other Intangible Assets</t>
  </si>
  <si>
    <t>Financial assets - Investment</t>
  </si>
  <si>
    <t>financial assets - Loan</t>
  </si>
  <si>
    <t>Inventories</t>
  </si>
  <si>
    <t>Financial assets - Investments</t>
  </si>
  <si>
    <t>Financial assets - Trade receivables</t>
  </si>
  <si>
    <t>Cash and Cash Equivalents</t>
  </si>
  <si>
    <t>Bank Balance</t>
  </si>
  <si>
    <t>Other current financial assets</t>
  </si>
  <si>
    <t xml:space="preserve"> Provision</t>
  </si>
  <si>
    <t>Lease liabilities</t>
  </si>
  <si>
    <t>Trade Payables</t>
  </si>
  <si>
    <t>Other current liabilities</t>
  </si>
  <si>
    <t>Provisions</t>
  </si>
  <si>
    <t>Current tax liabilities (net)</t>
  </si>
  <si>
    <t>Non controlling interest</t>
  </si>
  <si>
    <t>Other Non Current Financial Assets</t>
  </si>
  <si>
    <t xml:space="preserve">Non current assets </t>
  </si>
  <si>
    <t>Q3FY22</t>
  </si>
  <si>
    <t>Q4FY22</t>
  </si>
  <si>
    <t>Q1FY23</t>
  </si>
  <si>
    <t>Q2FY23</t>
  </si>
  <si>
    <t>Q3FY23</t>
  </si>
  <si>
    <t>Q4FY23</t>
  </si>
  <si>
    <t>Q1FY24</t>
  </si>
  <si>
    <t>Q2FY24</t>
  </si>
  <si>
    <t>Q3FY24</t>
  </si>
  <si>
    <t>Q4FY24</t>
  </si>
  <si>
    <t>FY22</t>
  </si>
  <si>
    <t>FY23</t>
  </si>
  <si>
    <t>FY24</t>
  </si>
  <si>
    <t>Mattresses</t>
  </si>
  <si>
    <t>Segments</t>
  </si>
  <si>
    <t>Furniture Foam</t>
  </si>
  <si>
    <t>Volumes in Lakhs</t>
  </si>
  <si>
    <t>Volumes in MTs</t>
  </si>
  <si>
    <t xml:space="preserve">Realization Per Piece </t>
  </si>
  <si>
    <t>Realization Per kg</t>
  </si>
  <si>
    <t>Techniqual Foam</t>
  </si>
  <si>
    <t>Home Care Products</t>
  </si>
  <si>
    <t>Total Revenues for SFL India</t>
  </si>
  <si>
    <t>% Growth</t>
  </si>
  <si>
    <t xml:space="preserve">Mattresses </t>
  </si>
  <si>
    <t>Technical Foam</t>
  </si>
  <si>
    <t>Furniture Care</t>
  </si>
  <si>
    <t>Home Comfort</t>
  </si>
  <si>
    <t>Comfort Foam</t>
  </si>
  <si>
    <t>Invenory Days</t>
  </si>
  <si>
    <t>GROSS PROFIT MARGIN</t>
  </si>
  <si>
    <t>Other  financial liabilities</t>
  </si>
  <si>
    <t>Other non-current financial liabilities</t>
  </si>
  <si>
    <t>Other non current liabilties</t>
  </si>
  <si>
    <t>FY22`</t>
  </si>
  <si>
    <t>FY21`</t>
  </si>
  <si>
    <t>Deffered Tax Asset</t>
  </si>
  <si>
    <t>-</t>
  </si>
  <si>
    <t xml:space="preserve">       Revenue in Mns</t>
  </si>
  <si>
    <t>Non current tax assets (Net)</t>
  </si>
  <si>
    <t xml:space="preserve"> EPS (Rs)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</si>
</sst>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%"/>
    <numFmt numFmtId="169" formatCode="_ * #,##0.000_ ;_ * \-#,##0.000_ ;_ * &quot;-&quot;???_ ;_ @_ "/>
  </numFmts>
  <fonts count="4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MyFirstFont"/>
    </font>
    <font>
      <sz val="11"/>
      <color rgb="FF333333"/>
      <name val="Arial"/>
      <family val="2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rgb="FF000000"/>
      <name val="MyFirstFont"/>
    </font>
  </fonts>
  <fills count="1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1" fillId="0" borderId="0"/>
  </cellStyleXfs>
  <cellXfs count="416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4" fillId="0" borderId="2" xfId="0" applyFont="1" applyBorder="1"/>
    <xf numFmtId="0" fontId="5" fillId="0" borderId="0" xfId="0" applyFont="1"/>
    <xf numFmtId="164" fontId="7" fillId="0" borderId="1" xfId="0" applyNumberFormat="1" applyFont="1" applyBorder="1"/>
    <xf numFmtId="0" fontId="3" fillId="3" borderId="1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0" fontId="1" fillId="3" borderId="1" xfId="0" applyFont="1" applyFill="1" applyBorder="1"/>
    <xf numFmtId="165" fontId="1" fillId="3" borderId="1" xfId="0" applyNumberFormat="1" applyFont="1" applyFill="1" applyBorder="1"/>
    <xf numFmtId="0" fontId="4" fillId="0" borderId="1" xfId="0" applyFont="1" applyBorder="1"/>
    <xf numFmtId="167" fontId="9" fillId="0" borderId="1" xfId="2" applyNumberFormat="1" applyFont="1" applyFill="1" applyBorder="1"/>
    <xf numFmtId="167" fontId="1" fillId="0" borderId="1" xfId="2" applyNumberFormat="1" applyFont="1" applyBorder="1"/>
    <xf numFmtId="167" fontId="7" fillId="0" borderId="1" xfId="2" applyNumberFormat="1" applyFont="1" applyFill="1" applyBorder="1"/>
    <xf numFmtId="167" fontId="4" fillId="3" borderId="1" xfId="2" applyNumberFormat="1" applyFont="1" applyFill="1" applyBorder="1"/>
    <xf numFmtId="167" fontId="9" fillId="3" borderId="1" xfId="2" applyNumberFormat="1" applyFont="1" applyFill="1" applyBorder="1"/>
    <xf numFmtId="43" fontId="4" fillId="0" borderId="1" xfId="2" applyFont="1" applyFill="1" applyBorder="1"/>
    <xf numFmtId="43" fontId="9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10" fontId="7" fillId="3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0" fillId="4" borderId="1" xfId="2" applyNumberFormat="1" applyFont="1" applyFill="1" applyBorder="1" applyAlignment="1">
      <alignment vertical="center"/>
    </xf>
    <xf numFmtId="164" fontId="10" fillId="0" borderId="1" xfId="2" applyNumberFormat="1" applyFont="1" applyBorder="1" applyAlignment="1">
      <alignment vertical="center"/>
    </xf>
    <xf numFmtId="167" fontId="10" fillId="0" borderId="1" xfId="2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164" fontId="9" fillId="0" borderId="1" xfId="0" applyNumberFormat="1" applyFont="1" applyBorder="1"/>
    <xf numFmtId="167" fontId="7" fillId="0" borderId="3" xfId="2" applyNumberFormat="1" applyFont="1" applyFill="1" applyBorder="1"/>
    <xf numFmtId="0" fontId="0" fillId="0" borderId="1" xfId="0" applyBorder="1"/>
    <xf numFmtId="4" fontId="0" fillId="4" borderId="1" xfId="0" applyNumberFormat="1" applyFill="1" applyBorder="1"/>
    <xf numFmtId="4" fontId="0" fillId="4" borderId="3" xfId="0" applyNumberFormat="1" applyFill="1" applyBorder="1"/>
    <xf numFmtId="0" fontId="0" fillId="4" borderId="8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0" fontId="0" fillId="0" borderId="1" xfId="1" applyNumberFormat="1" applyFont="1" applyBorder="1"/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 indent="1"/>
    </xf>
    <xf numFmtId="2" fontId="0" fillId="3" borderId="1" xfId="0" applyNumberFormat="1" applyFill="1" applyBorder="1"/>
    <xf numFmtId="2" fontId="1" fillId="3" borderId="1" xfId="2" applyNumberFormat="1" applyFont="1" applyFill="1" applyBorder="1"/>
    <xf numFmtId="10" fontId="0" fillId="3" borderId="1" xfId="0" applyNumberFormat="1" applyFill="1" applyBorder="1"/>
    <xf numFmtId="1" fontId="0" fillId="3" borderId="1" xfId="0" applyNumberFormat="1" applyFill="1" applyBorder="1"/>
    <xf numFmtId="0" fontId="1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10" borderId="5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" fontId="0" fillId="8" borderId="5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10" fontId="12" fillId="9" borderId="1" xfId="0" applyNumberFormat="1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0" fontId="13" fillId="4" borderId="1" xfId="1" applyNumberFormat="1" applyFont="1" applyFill="1" applyBorder="1" applyAlignment="1">
      <alignment horizontal="center"/>
    </xf>
    <xf numFmtId="10" fontId="13" fillId="4" borderId="1" xfId="0" applyNumberFormat="1" applyFont="1" applyFill="1" applyBorder="1" applyAlignment="1">
      <alignment horizontal="center"/>
    </xf>
    <xf numFmtId="4" fontId="0" fillId="9" borderId="5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9" fontId="13" fillId="4" borderId="1" xfId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14" fillId="4" borderId="1" xfId="1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/>
    </xf>
    <xf numFmtId="168" fontId="1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9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43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43" fontId="0" fillId="8" borderId="1" xfId="0" applyNumberFormat="1" applyFill="1" applyBorder="1" applyAlignment="1">
      <alignment horizontal="left"/>
    </xf>
    <xf numFmtId="166" fontId="0" fillId="0" borderId="1" xfId="2" applyNumberFormat="1" applyFont="1" applyFill="1" applyBorder="1" applyAlignment="1">
      <alignment horizontal="right"/>
    </xf>
    <xf numFmtId="0" fontId="12" fillId="6" borderId="1" xfId="0" applyFont="1" applyFill="1" applyBorder="1"/>
    <xf numFmtId="0" fontId="12" fillId="0" borderId="1" xfId="0" applyFont="1" applyBorder="1"/>
    <xf numFmtId="0" fontId="12" fillId="7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4" fontId="0" fillId="3" borderId="5" xfId="0" applyNumberFormat="1" applyFill="1" applyBorder="1"/>
    <xf numFmtId="166" fontId="0" fillId="0" borderId="1" xfId="2" applyNumberFormat="1" applyFont="1" applyFill="1" applyBorder="1" applyAlignment="1"/>
    <xf numFmtId="10" fontId="0" fillId="4" borderId="1" xfId="0" applyNumberFormat="1" applyFill="1" applyBorder="1"/>
    <xf numFmtId="4" fontId="0" fillId="4" borderId="5" xfId="0" applyNumberFormat="1" applyFill="1" applyBorder="1"/>
    <xf numFmtId="10" fontId="0" fillId="0" borderId="1" xfId="0" applyNumberFormat="1" applyBorder="1"/>
    <xf numFmtId="4" fontId="0" fillId="4" borderId="0" xfId="0" applyNumberFormat="1" applyFill="1"/>
    <xf numFmtId="10" fontId="12" fillId="10" borderId="1" xfId="0" applyNumberFormat="1" applyFont="1" applyFill="1" applyBorder="1"/>
    <xf numFmtId="10" fontId="12" fillId="4" borderId="1" xfId="0" applyNumberFormat="1" applyFont="1" applyFill="1" applyBorder="1"/>
    <xf numFmtId="10" fontId="0" fillId="3" borderId="1" xfId="1" applyNumberFormat="1" applyFont="1" applyFill="1" applyBorder="1" applyAlignment="1"/>
    <xf numFmtId="10" fontId="0" fillId="4" borderId="1" xfId="1" applyNumberFormat="1" applyFont="1" applyFill="1" applyBorder="1" applyAlignment="1"/>
    <xf numFmtId="43" fontId="0" fillId="3" borderId="1" xfId="0" applyNumberFormat="1" applyFill="1" applyBorder="1"/>
    <xf numFmtId="2" fontId="0" fillId="0" borderId="9" xfId="1" applyNumberFormat="1" applyFont="1" applyFill="1" applyBorder="1" applyAlignment="1"/>
    <xf numFmtId="4" fontId="0" fillId="0" borderId="5" xfId="0" applyNumberFormat="1" applyBorder="1"/>
    <xf numFmtId="4" fontId="0" fillId="9" borderId="5" xfId="0" applyNumberFormat="1" applyFill="1" applyBorder="1"/>
    <xf numFmtId="164" fontId="0" fillId="0" borderId="0" xfId="0" applyNumberFormat="1"/>
    <xf numFmtId="4" fontId="16" fillId="0" borderId="0" xfId="0" applyNumberFormat="1" applyFont="1"/>
    <xf numFmtId="2" fontId="0" fillId="4" borderId="1" xfId="0" applyNumberFormat="1" applyFill="1" applyBorder="1"/>
    <xf numFmtId="9" fontId="0" fillId="0" borderId="1" xfId="1" applyFont="1" applyFill="1" applyBorder="1" applyAlignment="1"/>
    <xf numFmtId="43" fontId="0" fillId="4" borderId="1" xfId="0" applyNumberFormat="1" applyFill="1" applyBorder="1"/>
    <xf numFmtId="43" fontId="0" fillId="0" borderId="1" xfId="0" applyNumberFormat="1" applyBorder="1"/>
    <xf numFmtId="2" fontId="0" fillId="0" borderId="1" xfId="0" applyNumberFormat="1" applyBorder="1"/>
    <xf numFmtId="2" fontId="0" fillId="11" borderId="1" xfId="0" applyNumberFormat="1" applyFill="1" applyBorder="1"/>
    <xf numFmtId="0" fontId="2" fillId="2" borderId="0" xfId="0" applyFont="1" applyFill="1" applyAlignment="1">
      <alignment vertical="center"/>
    </xf>
    <xf numFmtId="10" fontId="0" fillId="0" borderId="0" xfId="0" applyNumberFormat="1"/>
    <xf numFmtId="166" fontId="0" fillId="0" borderId="0" xfId="2" applyNumberFormat="1" applyFont="1" applyFill="1" applyBorder="1" applyAlignment="1"/>
    <xf numFmtId="9" fontId="0" fillId="0" borderId="0" xfId="0" applyNumberFormat="1"/>
    <xf numFmtId="2" fontId="0" fillId="0" borderId="0" xfId="0" applyNumberFormat="1"/>
    <xf numFmtId="164" fontId="10" fillId="0" borderId="0" xfId="2" applyNumberFormat="1" applyFont="1" applyBorder="1" applyAlignment="1">
      <alignment vertical="center"/>
    </xf>
    <xf numFmtId="167" fontId="4" fillId="3" borderId="3" xfId="2" applyNumberFormat="1" applyFont="1" applyFill="1" applyBorder="1"/>
    <xf numFmtId="167" fontId="9" fillId="3" borderId="3" xfId="2" applyNumberFormat="1" applyFont="1" applyFill="1" applyBorder="1"/>
    <xf numFmtId="10" fontId="1" fillId="3" borderId="1" xfId="0" applyNumberFormat="1" applyFont="1" applyFill="1" applyBorder="1" applyAlignment="1">
      <alignment horizontal="right"/>
    </xf>
    <xf numFmtId="0" fontId="1" fillId="4" borderId="0" xfId="0" applyFont="1" applyFill="1"/>
    <xf numFmtId="0" fontId="9" fillId="0" borderId="3" xfId="0" applyFont="1" applyBorder="1" applyAlignment="1">
      <alignment horizontal="center"/>
    </xf>
    <xf numFmtId="167" fontId="10" fillId="4" borderId="3" xfId="2" applyNumberFormat="1" applyFont="1" applyFill="1" applyBorder="1" applyAlignment="1">
      <alignment vertical="center"/>
    </xf>
    <xf numFmtId="164" fontId="10" fillId="0" borderId="3" xfId="2" applyNumberFormat="1" applyFont="1" applyBorder="1" applyAlignment="1">
      <alignment vertical="center"/>
    </xf>
    <xf numFmtId="10" fontId="1" fillId="3" borderId="3" xfId="0" applyNumberFormat="1" applyFont="1" applyFill="1" applyBorder="1"/>
    <xf numFmtId="10" fontId="1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/>
    <xf numFmtId="10" fontId="4" fillId="3" borderId="3" xfId="1" applyNumberFormat="1" applyFont="1" applyFill="1" applyBorder="1"/>
    <xf numFmtId="164" fontId="9" fillId="0" borderId="3" xfId="0" applyNumberFormat="1" applyFont="1" applyBorder="1"/>
    <xf numFmtId="164" fontId="4" fillId="3" borderId="3" xfId="0" applyNumberFormat="1" applyFont="1" applyFill="1" applyBorder="1"/>
    <xf numFmtId="43" fontId="9" fillId="0" borderId="3" xfId="2" applyFont="1" applyFill="1" applyBorder="1"/>
    <xf numFmtId="0" fontId="5" fillId="0" borderId="1" xfId="0" applyFont="1" applyBorder="1"/>
    <xf numFmtId="0" fontId="1" fillId="8" borderId="1" xfId="0" applyFont="1" applyFill="1" applyBorder="1"/>
    <xf numFmtId="167" fontId="10" fillId="8" borderId="1" xfId="2" applyNumberFormat="1" applyFont="1" applyFill="1" applyBorder="1" applyAlignment="1">
      <alignment vertical="center"/>
    </xf>
    <xf numFmtId="9" fontId="10" fillId="8" borderId="1" xfId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10" fontId="7" fillId="3" borderId="3" xfId="0" applyNumberFormat="1" applyFont="1" applyFill="1" applyBorder="1"/>
    <xf numFmtId="10" fontId="1" fillId="8" borderId="1" xfId="0" applyNumberFormat="1" applyFont="1" applyFill="1" applyBorder="1"/>
    <xf numFmtId="10" fontId="1" fillId="0" borderId="1" xfId="0" applyNumberFormat="1" applyFont="1" applyBorder="1"/>
    <xf numFmtId="0" fontId="3" fillId="8" borderId="1" xfId="0" applyFont="1" applyFill="1" applyBorder="1"/>
    <xf numFmtId="167" fontId="4" fillId="0" borderId="3" xfId="2" applyNumberFormat="1" applyFont="1" applyFill="1" applyBorder="1"/>
    <xf numFmtId="0" fontId="4" fillId="13" borderId="1" xfId="0" applyFont="1" applyFill="1" applyBorder="1"/>
    <xf numFmtId="167" fontId="10" fillId="13" borderId="1" xfId="2" applyNumberFormat="1" applyFont="1" applyFill="1" applyBorder="1" applyAlignment="1">
      <alignment vertical="center"/>
    </xf>
    <xf numFmtId="167" fontId="10" fillId="13" borderId="3" xfId="2" applyNumberFormat="1" applyFont="1" applyFill="1" applyBorder="1" applyAlignment="1">
      <alignment vertical="center"/>
    </xf>
    <xf numFmtId="0" fontId="3" fillId="0" borderId="1" xfId="0" applyFont="1" applyBorder="1"/>
    <xf numFmtId="10" fontId="1" fillId="0" borderId="3" xfId="0" applyNumberFormat="1" applyFont="1" applyBorder="1"/>
    <xf numFmtId="10" fontId="5" fillId="0" borderId="1" xfId="0" applyNumberFormat="1" applyFont="1" applyBorder="1"/>
    <xf numFmtId="0" fontId="1" fillId="14" borderId="1" xfId="0" applyFont="1" applyFill="1" applyBorder="1"/>
    <xf numFmtId="167" fontId="10" fillId="14" borderId="1" xfId="2" applyNumberFormat="1" applyFont="1" applyFill="1" applyBorder="1" applyAlignment="1">
      <alignment vertical="center"/>
    </xf>
    <xf numFmtId="167" fontId="10" fillId="14" borderId="1" xfId="2" applyNumberFormat="1" applyFont="1" applyFill="1" applyBorder="1" applyAlignment="1">
      <alignment horizontal="right" vertical="center"/>
    </xf>
    <xf numFmtId="167" fontId="10" fillId="14" borderId="3" xfId="2" applyNumberFormat="1" applyFont="1" applyFill="1" applyBorder="1" applyAlignment="1">
      <alignment horizontal="right" vertical="center"/>
    </xf>
    <xf numFmtId="164" fontId="10" fillId="14" borderId="1" xfId="2" applyNumberFormat="1" applyFont="1" applyFill="1" applyBorder="1" applyAlignment="1">
      <alignment vertical="center"/>
    </xf>
    <xf numFmtId="0" fontId="7" fillId="14" borderId="0" xfId="0" applyFont="1" applyFill="1"/>
    <xf numFmtId="166" fontId="10" fillId="14" borderId="1" xfId="2" applyNumberFormat="1" applyFont="1" applyFill="1" applyBorder="1" applyAlignment="1">
      <alignment vertical="center"/>
    </xf>
    <xf numFmtId="166" fontId="10" fillId="14" borderId="3" xfId="2" applyNumberFormat="1" applyFont="1" applyFill="1" applyBorder="1" applyAlignment="1">
      <alignment vertical="center"/>
    </xf>
    <xf numFmtId="164" fontId="10" fillId="14" borderId="3" xfId="2" applyNumberFormat="1" applyFont="1" applyFill="1" applyBorder="1" applyAlignment="1">
      <alignment vertical="center"/>
    </xf>
    <xf numFmtId="0" fontId="4" fillId="14" borderId="1" xfId="0" applyFont="1" applyFill="1" applyBorder="1"/>
    <xf numFmtId="166" fontId="4" fillId="14" borderId="3" xfId="2" applyNumberFormat="1" applyFont="1" applyFill="1" applyBorder="1"/>
    <xf numFmtId="10" fontId="4" fillId="14" borderId="1" xfId="0" applyNumberFormat="1" applyFont="1" applyFill="1" applyBorder="1"/>
    <xf numFmtId="10" fontId="4" fillId="14" borderId="3" xfId="0" applyNumberFormat="1" applyFont="1" applyFill="1" applyBorder="1"/>
    <xf numFmtId="10" fontId="1" fillId="0" borderId="3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3" fontId="18" fillId="0" borderId="1" xfId="0" applyNumberFormat="1" applyFont="1" applyBorder="1"/>
    <xf numFmtId="0" fontId="19" fillId="1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21" fillId="0" borderId="0" xfId="0" applyFont="1"/>
    <xf numFmtId="0" fontId="22" fillId="0" borderId="0" xfId="0" applyFont="1"/>
    <xf numFmtId="0" fontId="22" fillId="4" borderId="0" xfId="0" applyFont="1" applyFill="1"/>
    <xf numFmtId="0" fontId="21" fillId="0" borderId="2" xfId="0" applyFont="1" applyBorder="1"/>
    <xf numFmtId="0" fontId="23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7" fontId="24" fillId="4" borderId="1" xfId="2" applyNumberFormat="1" applyFont="1" applyFill="1" applyBorder="1" applyAlignment="1">
      <alignment vertical="center"/>
    </xf>
    <xf numFmtId="10" fontId="22" fillId="0" borderId="0" xfId="1" applyNumberFormat="1" applyFont="1"/>
    <xf numFmtId="0" fontId="22" fillId="0" borderId="1" xfId="0" applyFont="1" applyBorder="1"/>
    <xf numFmtId="164" fontId="24" fillId="0" borderId="1" xfId="2" applyNumberFormat="1" applyFont="1" applyBorder="1" applyAlignment="1">
      <alignment vertical="center"/>
    </xf>
    <xf numFmtId="0" fontId="22" fillId="4" borderId="1" xfId="0" applyFont="1" applyFill="1" applyBorder="1"/>
    <xf numFmtId="167" fontId="24" fillId="0" borderId="1" xfId="2" applyNumberFormat="1" applyFont="1" applyBorder="1" applyAlignment="1">
      <alignment vertical="center"/>
    </xf>
    <xf numFmtId="167" fontId="21" fillId="0" borderId="1" xfId="2" applyNumberFormat="1" applyFont="1" applyFill="1" applyBorder="1"/>
    <xf numFmtId="0" fontId="21" fillId="3" borderId="1" xfId="0" applyFont="1" applyFill="1" applyBorder="1"/>
    <xf numFmtId="167" fontId="21" fillId="3" borderId="1" xfId="2" applyNumberFormat="1" applyFont="1" applyFill="1" applyBorder="1"/>
    <xf numFmtId="0" fontId="25" fillId="0" borderId="1" xfId="0" applyFont="1" applyBorder="1"/>
    <xf numFmtId="167" fontId="22" fillId="0" borderId="1" xfId="2" applyNumberFormat="1" applyFont="1" applyBorder="1"/>
    <xf numFmtId="167" fontId="22" fillId="4" borderId="1" xfId="2" applyNumberFormat="1" applyFont="1" applyFill="1" applyBorder="1"/>
    <xf numFmtId="10" fontId="26" fillId="0" borderId="1" xfId="0" applyNumberFormat="1" applyFont="1" applyBorder="1"/>
    <xf numFmtId="164" fontId="24" fillId="4" borderId="1" xfId="2" applyNumberFormat="1" applyFont="1" applyFill="1" applyBorder="1" applyAlignment="1">
      <alignment vertical="center"/>
    </xf>
    <xf numFmtId="167" fontId="23" fillId="3" borderId="1" xfId="2" applyNumberFormat="1" applyFont="1" applyFill="1" applyBorder="1"/>
    <xf numFmtId="167" fontId="22" fillId="0" borderId="1" xfId="2" applyNumberFormat="1" applyFont="1" applyFill="1" applyBorder="1"/>
    <xf numFmtId="167" fontId="27" fillId="0" borderId="1" xfId="2" applyNumberFormat="1" applyFont="1" applyFill="1" applyBorder="1"/>
    <xf numFmtId="167" fontId="24" fillId="0" borderId="1" xfId="2" applyNumberFormat="1" applyFont="1" applyFill="1" applyBorder="1" applyAlignment="1">
      <alignment vertical="center"/>
    </xf>
    <xf numFmtId="164" fontId="22" fillId="0" borderId="1" xfId="0" applyNumberFormat="1" applyFont="1" applyBorder="1"/>
    <xf numFmtId="164" fontId="22" fillId="4" borderId="1" xfId="0" applyNumberFormat="1" applyFont="1" applyFill="1" applyBorder="1"/>
    <xf numFmtId="164" fontId="27" fillId="0" borderId="1" xfId="2" applyNumberFormat="1" applyFont="1" applyBorder="1" applyAlignment="1">
      <alignment vertical="center"/>
    </xf>
    <xf numFmtId="164" fontId="24" fillId="0" borderId="1" xfId="2" applyNumberFormat="1" applyFont="1" applyFill="1" applyBorder="1" applyAlignment="1">
      <alignment vertical="center"/>
    </xf>
    <xf numFmtId="9" fontId="22" fillId="0" borderId="0" xfId="1" applyFont="1"/>
    <xf numFmtId="167" fontId="27" fillId="0" borderId="1" xfId="2" applyNumberFormat="1" applyFont="1" applyBorder="1" applyAlignment="1">
      <alignment vertical="center"/>
    </xf>
    <xf numFmtId="0" fontId="26" fillId="0" borderId="0" xfId="0" applyFont="1"/>
    <xf numFmtId="0" fontId="26" fillId="0" borderId="1" xfId="0" applyFont="1" applyBorder="1"/>
    <xf numFmtId="167" fontId="27" fillId="0" borderId="1" xfId="2" applyNumberFormat="1" applyFont="1" applyBorder="1"/>
    <xf numFmtId="167" fontId="24" fillId="0" borderId="0" xfId="2" applyNumberFormat="1" applyFont="1" applyFill="1" applyBorder="1" applyAlignment="1">
      <alignment vertical="center"/>
    </xf>
    <xf numFmtId="167" fontId="23" fillId="0" borderId="1" xfId="2" applyNumberFormat="1" applyFont="1" applyFill="1" applyBorder="1"/>
    <xf numFmtId="164" fontId="23" fillId="0" borderId="1" xfId="0" applyNumberFormat="1" applyFont="1" applyBorder="1"/>
    <xf numFmtId="4" fontId="22" fillId="0" borderId="0" xfId="0" applyNumberFormat="1" applyFont="1"/>
    <xf numFmtId="0" fontId="22" fillId="0" borderId="1" xfId="0" applyFont="1" applyBorder="1" applyAlignment="1">
      <alignment horizontal="left"/>
    </xf>
    <xf numFmtId="164" fontId="27" fillId="0" borderId="1" xfId="2" applyNumberFormat="1" applyFont="1" applyBorder="1" applyAlignment="1">
      <alignment horizontal="right" vertical="center"/>
    </xf>
    <xf numFmtId="167" fontId="27" fillId="0" borderId="1" xfId="2" applyNumberFormat="1" applyFont="1" applyBorder="1" applyAlignment="1">
      <alignment horizontal="center" vertical="center"/>
    </xf>
    <xf numFmtId="43" fontId="22" fillId="0" borderId="1" xfId="0" applyNumberFormat="1" applyFont="1" applyBorder="1"/>
    <xf numFmtId="43" fontId="22" fillId="4" borderId="1" xfId="0" applyNumberFormat="1" applyFont="1" applyFill="1" applyBorder="1"/>
    <xf numFmtId="0" fontId="23" fillId="0" borderId="1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23" fillId="0" borderId="0" xfId="0" applyFont="1" applyAlignment="1">
      <alignment horizontal="right"/>
    </xf>
    <xf numFmtId="2" fontId="23" fillId="0" borderId="1" xfId="0" applyNumberFormat="1" applyFont="1" applyBorder="1"/>
    <xf numFmtId="2" fontId="23" fillId="0" borderId="3" xfId="0" applyNumberFormat="1" applyFont="1" applyBorder="1"/>
    <xf numFmtId="2" fontId="23" fillId="0" borderId="0" xfId="0" applyNumberFormat="1" applyFont="1"/>
    <xf numFmtId="43" fontId="26" fillId="0" borderId="0" xfId="0" applyNumberFormat="1" applyFont="1"/>
    <xf numFmtId="2" fontId="23" fillId="0" borderId="1" xfId="0" applyNumberFormat="1" applyFont="1" applyBorder="1" applyAlignment="1">
      <alignment horizontal="right"/>
    </xf>
    <xf numFmtId="2" fontId="23" fillId="0" borderId="3" xfId="0" applyNumberFormat="1" applyFont="1" applyBorder="1" applyAlignment="1">
      <alignment horizontal="right"/>
    </xf>
    <xf numFmtId="2" fontId="23" fillId="0" borderId="0" xfId="0" applyNumberFormat="1" applyFont="1" applyAlignment="1">
      <alignment horizontal="right"/>
    </xf>
    <xf numFmtId="0" fontId="23" fillId="4" borderId="1" xfId="0" applyFont="1" applyFill="1" applyBorder="1" applyAlignment="1">
      <alignment horizontal="right"/>
    </xf>
    <xf numFmtId="2" fontId="27" fillId="0" borderId="1" xfId="0" applyNumberFormat="1" applyFont="1" applyBorder="1"/>
    <xf numFmtId="2" fontId="27" fillId="0" borderId="3" xfId="0" applyNumberFormat="1" applyFont="1" applyBorder="1"/>
    <xf numFmtId="2" fontId="27" fillId="0" borderId="0" xfId="0" applyNumberFormat="1" applyFont="1"/>
    <xf numFmtId="164" fontId="21" fillId="0" borderId="1" xfId="0" applyNumberFormat="1" applyFont="1" applyBorder="1"/>
    <xf numFmtId="43" fontId="21" fillId="0" borderId="1" xfId="2" applyFont="1" applyBorder="1"/>
    <xf numFmtId="43" fontId="21" fillId="4" borderId="1" xfId="2" applyFont="1" applyFill="1" applyBorder="1"/>
    <xf numFmtId="0" fontId="22" fillId="0" borderId="0" xfId="0" applyFont="1" applyAlignment="1">
      <alignment horizontal="right"/>
    </xf>
    <xf numFmtId="164" fontId="21" fillId="3" borderId="1" xfId="0" applyNumberFormat="1" applyFont="1" applyFill="1" applyBorder="1"/>
    <xf numFmtId="43" fontId="21" fillId="3" borderId="1" xfId="2" applyFont="1" applyFill="1" applyBorder="1"/>
    <xf numFmtId="164" fontId="22" fillId="3" borderId="1" xfId="0" applyNumberFormat="1" applyFont="1" applyFill="1" applyBorder="1"/>
    <xf numFmtId="43" fontId="22" fillId="3" borderId="1" xfId="2" applyFont="1" applyFill="1" applyBorder="1"/>
    <xf numFmtId="167" fontId="21" fillId="3" borderId="3" xfId="2" applyNumberFormat="1" applyFont="1" applyFill="1" applyBorder="1"/>
    <xf numFmtId="43" fontId="27" fillId="3" borderId="1" xfId="2" applyFont="1" applyFill="1" applyBorder="1"/>
    <xf numFmtId="167" fontId="27" fillId="0" borderId="0" xfId="2" applyNumberFormat="1" applyFont="1" applyFill="1" applyBorder="1"/>
    <xf numFmtId="167" fontId="23" fillId="3" borderId="3" xfId="2" applyNumberFormat="1" applyFont="1" applyFill="1" applyBorder="1"/>
    <xf numFmtId="165" fontId="22" fillId="3" borderId="1" xfId="0" applyNumberFormat="1" applyFont="1" applyFill="1" applyBorder="1"/>
    <xf numFmtId="10" fontId="22" fillId="3" borderId="1" xfId="0" applyNumberFormat="1" applyFont="1" applyFill="1" applyBorder="1"/>
    <xf numFmtId="43" fontId="22" fillId="0" borderId="0" xfId="0" applyNumberFormat="1" applyFont="1"/>
    <xf numFmtId="2" fontId="22" fillId="3" borderId="1" xfId="0" applyNumberFormat="1" applyFont="1" applyFill="1" applyBorder="1"/>
    <xf numFmtId="166" fontId="27" fillId="0" borderId="1" xfId="2" applyNumberFormat="1" applyFont="1" applyFill="1" applyBorder="1"/>
    <xf numFmtId="166" fontId="27" fillId="0" borderId="0" xfId="2" applyNumberFormat="1" applyFont="1" applyFill="1" applyBorder="1"/>
    <xf numFmtId="167" fontId="27" fillId="3" borderId="1" xfId="2" applyNumberFormat="1" applyFont="1" applyFill="1" applyBorder="1"/>
    <xf numFmtId="10" fontId="22" fillId="3" borderId="1" xfId="1" applyNumberFormat="1" applyFont="1" applyFill="1" applyBorder="1"/>
    <xf numFmtId="1" fontId="22" fillId="3" borderId="1" xfId="0" applyNumberFormat="1" applyFont="1" applyFill="1" applyBorder="1"/>
    <xf numFmtId="1" fontId="27" fillId="3" borderId="1" xfId="0" applyNumberFormat="1" applyFont="1" applyFill="1" applyBorder="1"/>
    <xf numFmtId="0" fontId="27" fillId="3" borderId="1" xfId="0" applyFont="1" applyFill="1" applyBorder="1"/>
    <xf numFmtId="10" fontId="27" fillId="3" borderId="1" xfId="1" applyNumberFormat="1" applyFont="1" applyFill="1" applyBorder="1" applyAlignment="1">
      <alignment horizontal="right"/>
    </xf>
    <xf numFmtId="0" fontId="22" fillId="3" borderId="1" xfId="0" applyFont="1" applyFill="1" applyBorder="1"/>
    <xf numFmtId="10" fontId="25" fillId="0" borderId="1" xfId="0" applyNumberFormat="1" applyFont="1" applyBorder="1"/>
    <xf numFmtId="0" fontId="21" fillId="0" borderId="1" xfId="0" applyFont="1" applyBorder="1" applyAlignment="1">
      <alignment horizontal="left"/>
    </xf>
    <xf numFmtId="10" fontId="26" fillId="0" borderId="1" xfId="0" applyNumberFormat="1" applyFont="1" applyBorder="1" applyAlignment="1">
      <alignment horizontal="right"/>
    </xf>
    <xf numFmtId="0" fontId="0" fillId="15" borderId="0" xfId="0" applyFill="1"/>
    <xf numFmtId="0" fontId="0" fillId="0" borderId="10" xfId="0" applyBorder="1"/>
    <xf numFmtId="0" fontId="0" fillId="15" borderId="1" xfId="0" applyFill="1" applyBorder="1"/>
    <xf numFmtId="0" fontId="0" fillId="0" borderId="1" xfId="0" applyBorder="1" applyAlignment="1">
      <alignment horizontal="left" indent="2"/>
    </xf>
    <xf numFmtId="0" fontId="12" fillId="0" borderId="10" xfId="0" applyFont="1" applyBorder="1"/>
    <xf numFmtId="0" fontId="0" fillId="0" borderId="0" xfId="0" applyAlignment="1">
      <alignment horizontal="left" indent="2"/>
    </xf>
    <xf numFmtId="0" fontId="12" fillId="16" borderId="1" xfId="0" applyFont="1" applyFill="1" applyBorder="1"/>
    <xf numFmtId="0" fontId="12" fillId="16" borderId="1" xfId="0" applyFont="1" applyFill="1" applyBorder="1" applyAlignment="1">
      <alignment horizontal="left"/>
    </xf>
    <xf numFmtId="166" fontId="0" fillId="0" borderId="4" xfId="2" applyNumberFormat="1" applyFont="1" applyBorder="1"/>
    <xf numFmtId="166" fontId="0" fillId="0" borderId="1" xfId="2" applyNumberFormat="1" applyFont="1" applyBorder="1"/>
    <xf numFmtId="166" fontId="0" fillId="0" borderId="0" xfId="2" applyNumberFormat="1" applyFont="1" applyBorder="1"/>
    <xf numFmtId="0" fontId="0" fillId="0" borderId="10" xfId="0" applyBorder="1" applyAlignment="1">
      <alignment horizontal="left" indent="2"/>
    </xf>
    <xf numFmtId="0" fontId="0" fillId="0" borderId="2" xfId="0" applyBorder="1"/>
    <xf numFmtId="166" fontId="0" fillId="0" borderId="12" xfId="2" applyNumberFormat="1" applyFont="1" applyBorder="1"/>
    <xf numFmtId="166" fontId="0" fillId="0" borderId="2" xfId="2" applyNumberFormat="1" applyFont="1" applyBorder="1"/>
    <xf numFmtId="0" fontId="0" fillId="0" borderId="2" xfId="0" applyBorder="1" applyAlignment="1">
      <alignment horizontal="left" indent="2"/>
    </xf>
    <xf numFmtId="0" fontId="12" fillId="3" borderId="1" xfId="0" applyFont="1" applyFill="1" applyBorder="1" applyAlignment="1">
      <alignment horizontal="left"/>
    </xf>
    <xf numFmtId="166" fontId="12" fillId="0" borderId="1" xfId="2" applyNumberFormat="1" applyFont="1" applyBorder="1"/>
    <xf numFmtId="43" fontId="0" fillId="0" borderId="11" xfId="2" applyFont="1" applyBorder="1"/>
    <xf numFmtId="43" fontId="0" fillId="0" borderId="10" xfId="2" applyFont="1" applyBorder="1"/>
    <xf numFmtId="0" fontId="32" fillId="0" borderId="10" xfId="0" applyFont="1" applyBorder="1" applyAlignment="1">
      <alignment horizontal="left" indent="2"/>
    </xf>
    <xf numFmtId="0" fontId="32" fillId="15" borderId="0" xfId="0" applyFont="1" applyFill="1"/>
    <xf numFmtId="43" fontId="32" fillId="0" borderId="11" xfId="2" applyFont="1" applyBorder="1"/>
    <xf numFmtId="0" fontId="32" fillId="0" borderId="1" xfId="0" applyFont="1" applyBorder="1" applyAlignment="1">
      <alignment horizontal="left" indent="2"/>
    </xf>
    <xf numFmtId="0" fontId="32" fillId="15" borderId="1" xfId="0" applyFont="1" applyFill="1" applyBorder="1"/>
    <xf numFmtId="43" fontId="32" fillId="0" borderId="1" xfId="2" applyFont="1" applyBorder="1"/>
    <xf numFmtId="0" fontId="17" fillId="0" borderId="1" xfId="0" applyFont="1" applyBorder="1" applyAlignment="1">
      <alignment horizontal="left" indent="2"/>
    </xf>
    <xf numFmtId="0" fontId="17" fillId="15" borderId="1" xfId="0" applyFont="1" applyFill="1" applyBorder="1"/>
    <xf numFmtId="43" fontId="17" fillId="0" borderId="1" xfId="2" applyFont="1" applyBorder="1"/>
    <xf numFmtId="0" fontId="12" fillId="0" borderId="1" xfId="0" applyFont="1" applyBorder="1" applyAlignment="1">
      <alignment horizontal="center"/>
    </xf>
    <xf numFmtId="167" fontId="21" fillId="0" borderId="0" xfId="2" applyNumberFormat="1" applyFont="1" applyFill="1" applyBorder="1"/>
    <xf numFmtId="167" fontId="23" fillId="0" borderId="0" xfId="2" applyNumberFormat="1" applyFont="1" applyFill="1" applyBorder="1"/>
    <xf numFmtId="167" fontId="22" fillId="0" borderId="0" xfId="2" applyNumberFormat="1" applyFont="1" applyFill="1" applyBorder="1"/>
    <xf numFmtId="164" fontId="24" fillId="0" borderId="0" xfId="2" applyNumberFormat="1" applyFont="1" applyFill="1" applyBorder="1" applyAlignment="1">
      <alignment vertical="center"/>
    </xf>
    <xf numFmtId="164" fontId="22" fillId="0" borderId="0" xfId="0" applyNumberFormat="1" applyFont="1"/>
    <xf numFmtId="43" fontId="21" fillId="0" borderId="0" xfId="2" applyFont="1" applyFill="1" applyBorder="1"/>
    <xf numFmtId="43" fontId="22" fillId="0" borderId="0" xfId="2" applyFont="1" applyFill="1" applyBorder="1"/>
    <xf numFmtId="43" fontId="27" fillId="0" borderId="0" xfId="2" applyFont="1" applyFill="1" applyBorder="1"/>
    <xf numFmtId="10" fontId="22" fillId="0" borderId="0" xfId="0" applyNumberFormat="1" applyFont="1"/>
    <xf numFmtId="2" fontId="22" fillId="0" borderId="0" xfId="0" applyNumberFormat="1" applyFont="1"/>
    <xf numFmtId="10" fontId="22" fillId="0" borderId="0" xfId="1" applyNumberFormat="1" applyFont="1" applyFill="1" applyBorder="1"/>
    <xf numFmtId="1" fontId="22" fillId="0" borderId="0" xfId="0" applyNumberFormat="1" applyFont="1"/>
    <xf numFmtId="1" fontId="27" fillId="0" borderId="0" xfId="0" applyNumberFormat="1" applyFont="1"/>
    <xf numFmtId="10" fontId="27" fillId="0" borderId="0" xfId="1" applyNumberFormat="1" applyFont="1" applyFill="1" applyBorder="1" applyAlignment="1">
      <alignment horizontal="right"/>
    </xf>
    <xf numFmtId="165" fontId="0" fillId="0" borderId="0" xfId="1" applyNumberFormat="1" applyFont="1"/>
    <xf numFmtId="166" fontId="0" fillId="0" borderId="1" xfId="0" applyNumberFormat="1" applyBorder="1"/>
    <xf numFmtId="43" fontId="0" fillId="0" borderId="10" xfId="0" applyNumberFormat="1" applyBorder="1"/>
    <xf numFmtId="165" fontId="33" fillId="0" borderId="10" xfId="1" applyNumberFormat="1" applyFont="1" applyBorder="1"/>
    <xf numFmtId="165" fontId="33" fillId="0" borderId="1" xfId="1" applyNumberFormat="1" applyFont="1" applyBorder="1"/>
    <xf numFmtId="165" fontId="34" fillId="0" borderId="1" xfId="1" applyNumberFormat="1" applyFont="1" applyBorder="1"/>
    <xf numFmtId="0" fontId="12" fillId="3" borderId="10" xfId="0" applyFont="1" applyFill="1" applyBorder="1" applyAlignment="1">
      <alignment horizontal="center"/>
    </xf>
    <xf numFmtId="166" fontId="0" fillId="3" borderId="1" xfId="2" applyNumberFormat="1" applyFont="1" applyFill="1" applyBorder="1"/>
    <xf numFmtId="43" fontId="0" fillId="3" borderId="10" xfId="2" applyFont="1" applyFill="1" applyBorder="1"/>
    <xf numFmtId="165" fontId="32" fillId="3" borderId="10" xfId="1" applyNumberFormat="1" applyFont="1" applyFill="1" applyBorder="1"/>
    <xf numFmtId="165" fontId="32" fillId="3" borderId="1" xfId="1" applyNumberFormat="1" applyFont="1" applyFill="1" applyBorder="1"/>
    <xf numFmtId="165" fontId="17" fillId="3" borderId="1" xfId="1" applyNumberFormat="1" applyFont="1" applyFill="1" applyBorder="1"/>
    <xf numFmtId="166" fontId="12" fillId="3" borderId="1" xfId="2" applyNumberFormat="1" applyFont="1" applyFill="1" applyBorder="1"/>
    <xf numFmtId="166" fontId="0" fillId="0" borderId="10" xfId="0" applyNumberFormat="1" applyBorder="1"/>
    <xf numFmtId="9" fontId="17" fillId="3" borderId="10" xfId="0" applyNumberFormat="1" applyFont="1" applyFill="1" applyBorder="1"/>
    <xf numFmtId="9" fontId="17" fillId="3" borderId="1" xfId="0" applyNumberFormat="1" applyFont="1" applyFill="1" applyBorder="1"/>
    <xf numFmtId="166" fontId="0" fillId="3" borderId="1" xfId="0" applyNumberFormat="1" applyFill="1" applyBorder="1"/>
    <xf numFmtId="166" fontId="0" fillId="3" borderId="10" xfId="2" applyNumberFormat="1" applyFont="1" applyFill="1" applyBorder="1"/>
    <xf numFmtId="166" fontId="21" fillId="3" borderId="3" xfId="2" applyNumberFormat="1" applyFont="1" applyFill="1" applyBorder="1"/>
    <xf numFmtId="10" fontId="21" fillId="3" borderId="1" xfId="1" applyNumberFormat="1" applyFont="1" applyFill="1" applyBorder="1"/>
    <xf numFmtId="10" fontId="21" fillId="3" borderId="3" xfId="1" applyNumberFormat="1" applyFont="1" applyFill="1" applyBorder="1"/>
    <xf numFmtId="10" fontId="21" fillId="3" borderId="1" xfId="0" applyNumberFormat="1" applyFont="1" applyFill="1" applyBorder="1"/>
    <xf numFmtId="10" fontId="21" fillId="3" borderId="3" xfId="0" applyNumberFormat="1" applyFont="1" applyFill="1" applyBorder="1"/>
    <xf numFmtId="43" fontId="23" fillId="3" borderId="1" xfId="2" applyFont="1" applyFill="1" applyBorder="1"/>
    <xf numFmtId="10" fontId="35" fillId="3" borderId="3" xfId="1" applyNumberFormat="1" applyFont="1" applyFill="1" applyBorder="1" applyAlignment="1">
      <alignment vertical="center"/>
    </xf>
    <xf numFmtId="0" fontId="35" fillId="3" borderId="1" xfId="0" applyFont="1" applyFill="1" applyBorder="1"/>
    <xf numFmtId="0" fontId="17" fillId="0" borderId="0" xfId="0" applyFont="1"/>
    <xf numFmtId="0" fontId="36" fillId="0" borderId="1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166" fontId="36" fillId="0" borderId="1" xfId="2" applyNumberFormat="1" applyFont="1" applyFill="1" applyBorder="1"/>
    <xf numFmtId="43" fontId="17" fillId="0" borderId="10" xfId="2" applyFont="1" applyFill="1" applyBorder="1"/>
    <xf numFmtId="9" fontId="17" fillId="0" borderId="10" xfId="0" applyNumberFormat="1" applyFont="1" applyBorder="1"/>
    <xf numFmtId="43" fontId="17" fillId="0" borderId="1" xfId="0" applyNumberFormat="1" applyFont="1" applyBorder="1"/>
    <xf numFmtId="9" fontId="17" fillId="0" borderId="1" xfId="0" applyNumberFormat="1" applyFont="1" applyBorder="1"/>
    <xf numFmtId="166" fontId="17" fillId="0" borderId="13" xfId="2" applyNumberFormat="1" applyFont="1" applyFill="1" applyBorder="1"/>
    <xf numFmtId="0" fontId="17" fillId="0" borderId="1" xfId="0" applyFont="1" applyBorder="1"/>
    <xf numFmtId="166" fontId="17" fillId="0" borderId="1" xfId="0" applyNumberFormat="1" applyFont="1" applyBorder="1"/>
    <xf numFmtId="0" fontId="17" fillId="0" borderId="2" xfId="0" applyFont="1" applyBorder="1"/>
    <xf numFmtId="0" fontId="12" fillId="0" borderId="10" xfId="0" applyFont="1" applyBorder="1" applyAlignment="1">
      <alignment horizontal="center"/>
    </xf>
    <xf numFmtId="166" fontId="12" fillId="0" borderId="1" xfId="2" applyNumberFormat="1" applyFont="1" applyFill="1" applyBorder="1"/>
    <xf numFmtId="43" fontId="0" fillId="0" borderId="10" xfId="2" applyFont="1" applyFill="1" applyBorder="1"/>
    <xf numFmtId="166" fontId="0" fillId="0" borderId="13" xfId="2" applyNumberFormat="1" applyFont="1" applyFill="1" applyBorder="1"/>
    <xf numFmtId="165" fontId="33" fillId="3" borderId="10" xfId="1" applyNumberFormat="1" applyFont="1" applyFill="1" applyBorder="1"/>
    <xf numFmtId="166" fontId="12" fillId="3" borderId="10" xfId="2" applyNumberFormat="1" applyFont="1" applyFill="1" applyBorder="1"/>
    <xf numFmtId="43" fontId="27" fillId="0" borderId="0" xfId="0" applyNumberFormat="1" applyFont="1"/>
    <xf numFmtId="166" fontId="28" fillId="4" borderId="1" xfId="2" applyNumberFormat="1" applyFont="1" applyFill="1" applyBorder="1" applyAlignment="1">
      <alignment vertical="center"/>
    </xf>
    <xf numFmtId="166" fontId="21" fillId="0" borderId="3" xfId="2" applyNumberFormat="1" applyFont="1" applyFill="1" applyBorder="1"/>
    <xf numFmtId="166" fontId="23" fillId="3" borderId="3" xfId="2" applyNumberFormat="1" applyFont="1" applyFill="1" applyBorder="1"/>
    <xf numFmtId="1" fontId="21" fillId="0" borderId="3" xfId="0" applyNumberFormat="1" applyFont="1" applyBorder="1"/>
    <xf numFmtId="166" fontId="21" fillId="0" borderId="3" xfId="2" applyNumberFormat="1" applyFont="1" applyFill="1" applyBorder="1" applyAlignment="1"/>
    <xf numFmtId="166" fontId="24" fillId="0" borderId="1" xfId="2" applyNumberFormat="1" applyFont="1" applyFill="1" applyBorder="1" applyAlignment="1">
      <alignment vertical="center"/>
    </xf>
    <xf numFmtId="166" fontId="28" fillId="0" borderId="1" xfId="2" applyNumberFormat="1" applyFont="1" applyFill="1" applyBorder="1" applyAlignment="1">
      <alignment horizontal="right" vertical="center"/>
    </xf>
    <xf numFmtId="166" fontId="24" fillId="0" borderId="1" xfId="2" applyNumberFormat="1" applyFont="1" applyFill="1" applyBorder="1" applyAlignment="1">
      <alignment horizontal="right" vertical="center"/>
    </xf>
    <xf numFmtId="166" fontId="28" fillId="0" borderId="1" xfId="2" applyNumberFormat="1" applyFont="1" applyFill="1" applyBorder="1" applyAlignment="1">
      <alignment vertical="center"/>
    </xf>
    <xf numFmtId="1" fontId="0" fillId="0" borderId="1" xfId="0" applyNumberFormat="1" applyBorder="1"/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6" fontId="28" fillId="4" borderId="0" xfId="2" applyNumberFormat="1" applyFont="1" applyFill="1" applyBorder="1" applyAlignment="1">
      <alignment vertical="center"/>
    </xf>
    <xf numFmtId="164" fontId="24" fillId="0" borderId="0" xfId="2" applyNumberFormat="1" applyFont="1" applyBorder="1" applyAlignment="1">
      <alignment vertical="center"/>
    </xf>
    <xf numFmtId="10" fontId="26" fillId="0" borderId="0" xfId="0" applyNumberFormat="1" applyFont="1"/>
    <xf numFmtId="166" fontId="21" fillId="0" borderId="0" xfId="2" applyNumberFormat="1" applyFont="1" applyFill="1" applyBorder="1"/>
    <xf numFmtId="9" fontId="30" fillId="0" borderId="0" xfId="1" applyFont="1" applyFill="1" applyBorder="1" applyAlignment="1">
      <alignment vertical="center"/>
    </xf>
    <xf numFmtId="10" fontId="35" fillId="3" borderId="0" xfId="1" applyNumberFormat="1" applyFont="1" applyFill="1" applyBorder="1" applyAlignment="1">
      <alignment vertical="center"/>
    </xf>
    <xf numFmtId="166" fontId="21" fillId="0" borderId="0" xfId="2" applyNumberFormat="1" applyFont="1" applyFill="1" applyBorder="1" applyAlignment="1"/>
    <xf numFmtId="9" fontId="29" fillId="0" borderId="0" xfId="1" applyFont="1" applyFill="1" applyBorder="1" applyAlignment="1">
      <alignment vertical="center"/>
    </xf>
    <xf numFmtId="166" fontId="24" fillId="0" borderId="0" xfId="2" applyNumberFormat="1" applyFont="1" applyFill="1" applyBorder="1" applyAlignment="1">
      <alignment horizontal="right" vertical="center"/>
    </xf>
    <xf numFmtId="10" fontId="25" fillId="0" borderId="0" xfId="0" applyNumberFormat="1" applyFont="1"/>
    <xf numFmtId="166" fontId="24" fillId="0" borderId="0" xfId="2" applyNumberFormat="1" applyFont="1" applyFill="1" applyBorder="1" applyAlignment="1">
      <alignment vertical="center"/>
    </xf>
    <xf numFmtId="166" fontId="21" fillId="3" borderId="0" xfId="2" applyNumberFormat="1" applyFont="1" applyFill="1" applyBorder="1"/>
    <xf numFmtId="10" fontId="26" fillId="0" borderId="0" xfId="0" applyNumberFormat="1" applyFont="1" applyAlignment="1">
      <alignment horizontal="right"/>
    </xf>
    <xf numFmtId="10" fontId="21" fillId="3" borderId="0" xfId="0" applyNumberFormat="1" applyFont="1" applyFill="1"/>
    <xf numFmtId="166" fontId="23" fillId="0" borderId="0" xfId="2" applyNumberFormat="1" applyFont="1" applyFill="1" applyBorder="1"/>
    <xf numFmtId="166" fontId="23" fillId="3" borderId="0" xfId="2" applyNumberFormat="1" applyFont="1" applyFill="1" applyBorder="1"/>
    <xf numFmtId="10" fontId="21" fillId="3" borderId="0" xfId="1" applyNumberFormat="1" applyFont="1" applyFill="1" applyBorder="1"/>
    <xf numFmtId="164" fontId="23" fillId="0" borderId="0" xfId="0" applyNumberFormat="1" applyFont="1"/>
    <xf numFmtId="1" fontId="21" fillId="0" borderId="0" xfId="0" applyNumberFormat="1" applyFont="1"/>
    <xf numFmtId="43" fontId="23" fillId="3" borderId="0" xfId="2" applyFont="1" applyFill="1" applyBorder="1"/>
    <xf numFmtId="166" fontId="21" fillId="0" borderId="1" xfId="2" applyNumberFormat="1" applyFont="1" applyFill="1" applyBorder="1"/>
    <xf numFmtId="166" fontId="21" fillId="0" borderId="1" xfId="2" applyNumberFormat="1" applyFont="1" applyFill="1" applyBorder="1" applyAlignment="1"/>
    <xf numFmtId="166" fontId="23" fillId="3" borderId="1" xfId="2" applyNumberFormat="1" applyFont="1" applyFill="1" applyBorder="1"/>
    <xf numFmtId="9" fontId="22" fillId="3" borderId="1" xfId="1" applyFont="1" applyFill="1" applyBorder="1"/>
    <xf numFmtId="1" fontId="22" fillId="4" borderId="1" xfId="0" applyNumberFormat="1" applyFont="1" applyFill="1" applyBorder="1"/>
    <xf numFmtId="10" fontId="22" fillId="4" borderId="1" xfId="0" applyNumberFormat="1" applyFont="1" applyFill="1" applyBorder="1"/>
    <xf numFmtId="3" fontId="0" fillId="0" borderId="1" xfId="0" applyNumberFormat="1" applyBorder="1"/>
    <xf numFmtId="3" fontId="0" fillId="0" borderId="2" xfId="0" applyNumberFormat="1" applyBorder="1"/>
    <xf numFmtId="165" fontId="0" fillId="0" borderId="1" xfId="1" applyNumberFormat="1" applyFont="1" applyBorder="1"/>
    <xf numFmtId="165" fontId="37" fillId="0" borderId="2" xfId="1" applyNumberFormat="1" applyFont="1" applyBorder="1"/>
    <xf numFmtId="165" fontId="37" fillId="0" borderId="0" xfId="1" applyNumberFormat="1" applyFont="1"/>
    <xf numFmtId="165" fontId="37" fillId="0" borderId="1" xfId="1" applyNumberFormat="1" applyFont="1" applyBorder="1"/>
    <xf numFmtId="10" fontId="22" fillId="0" borderId="1" xfId="0" applyNumberFormat="1" applyFont="1" applyBorder="1"/>
    <xf numFmtId="9" fontId="25" fillId="0" borderId="1" xfId="1" applyFont="1" applyFill="1" applyBorder="1" applyAlignment="1">
      <alignment vertical="center"/>
    </xf>
    <xf numFmtId="0" fontId="38" fillId="0" borderId="1" xfId="0" applyFont="1" applyBorder="1"/>
    <xf numFmtId="10" fontId="22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21" fillId="0" borderId="0" xfId="0" applyFont="1" applyAlignment="1">
      <alignment horizontal="right"/>
    </xf>
    <xf numFmtId="3" fontId="39" fillId="5" borderId="13" xfId="0" applyNumberFormat="1" applyFont="1" applyFill="1" applyBorder="1" applyAlignment="1">
      <alignment horizontal="right" vertical="center" wrapText="1"/>
    </xf>
    <xf numFmtId="166" fontId="0" fillId="0" borderId="0" xfId="2" applyNumberFormat="1" applyFont="1"/>
    <xf numFmtId="169" fontId="0" fillId="0" borderId="1" xfId="0" applyNumberFormat="1" applyBorder="1"/>
    <xf numFmtId="10" fontId="35" fillId="3" borderId="1" xfId="1" applyNumberFormat="1" applyFont="1" applyFill="1" applyBorder="1" applyAlignment="1">
      <alignment vertical="center"/>
    </xf>
    <xf numFmtId="166" fontId="21" fillId="3" borderId="1" xfId="2" applyNumberFormat="1" applyFont="1" applyFill="1" applyBorder="1"/>
    <xf numFmtId="1" fontId="21" fillId="0" borderId="1" xfId="0" applyNumberFormat="1" applyFont="1" applyBorder="1"/>
    <xf numFmtId="0" fontId="19" fillId="2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6" fontId="24" fillId="0" borderId="1" xfId="2" applyNumberFormat="1" applyFont="1" applyBorder="1" applyAlignment="1">
      <alignment vertical="center"/>
    </xf>
    <xf numFmtId="10" fontId="38" fillId="0" borderId="1" xfId="1" applyNumberFormat="1" applyFont="1" applyFill="1" applyBorder="1" applyAlignment="1">
      <alignment vertical="center"/>
    </xf>
    <xf numFmtId="10" fontId="38" fillId="0" borderId="3" xfId="1" applyNumberFormat="1" applyFont="1" applyFill="1" applyBorder="1" applyAlignment="1">
      <alignment vertical="center"/>
    </xf>
    <xf numFmtId="10" fontId="25" fillId="0" borderId="1" xfId="1" applyNumberFormat="1" applyFont="1" applyFill="1" applyBorder="1" applyAlignment="1">
      <alignment vertical="center"/>
    </xf>
    <xf numFmtId="1" fontId="24" fillId="0" borderId="1" xfId="2" applyNumberFormat="1" applyFont="1" applyFill="1" applyBorder="1" applyAlignment="1">
      <alignment vertical="center"/>
    </xf>
    <xf numFmtId="166" fontId="23" fillId="0" borderId="3" xfId="2" applyNumberFormat="1" applyFont="1" applyFill="1" applyBorder="1"/>
    <xf numFmtId="1" fontId="23" fillId="0" borderId="1" xfId="0" applyNumberFormat="1" applyFont="1" applyBorder="1"/>
  </cellXfs>
  <cellStyles count="5">
    <cellStyle name="Comma" xfId="2" builtinId="3"/>
    <cellStyle name="Normal" xfId="0" builtinId="0"/>
    <cellStyle name="Normal 2" xfId="4" xr:uid="{00000000-0005-0000-0000-000002000000}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lik/BCL%20industries/summary%20sheet/BCL%20Industries%20-%20Summary%20Sheet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luding Other Income"/>
      <sheetName val="Peer Comparison"/>
      <sheetName val="Working"/>
    </sheetNames>
    <sheetDataSet>
      <sheetData sheetId="0">
        <row r="6">
          <cell r="I6">
            <v>9255.0540000000001</v>
          </cell>
        </row>
        <row r="63">
          <cell r="S63">
            <v>71.973852070201815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mesh Singh" id="{2C8D47A6-757A-42CF-B557-13AA5345F78E}" userId="Nimesh Sing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2-01-09T09:29:54.36" personId="{2C8D47A6-757A-42CF-B557-13AA5345F78E}" id="{262EE705-F68C-42A1-8750-F20EE0F10593}">
    <text>Average of Last 3 years FY19-FY21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Y@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7"/>
  <sheetViews>
    <sheetView tabSelected="1" view="pageBreakPreview" zoomScale="90" zoomScaleNormal="90" zoomScaleSheetLayoutView="90" workbookViewId="0">
      <pane ySplit="1" topLeftCell="A51" activePane="bottomLeft" state="frozen"/>
      <selection activeCell="B1" sqref="B1"/>
      <selection pane="bottomLeft" activeCell="G60" sqref="G60"/>
    </sheetView>
  </sheetViews>
  <sheetFormatPr defaultColWidth="9.140625" defaultRowHeight="12"/>
  <cols>
    <col min="1" max="1" width="45.42578125" style="1" customWidth="1"/>
    <col min="2" max="7" width="11.42578125" style="5" customWidth="1"/>
    <col min="8" max="8" width="11.85546875" style="1" customWidth="1"/>
    <col min="9" max="9" width="40.5703125" style="1" customWidth="1"/>
    <col min="10" max="10" width="13.140625" style="1" customWidth="1"/>
    <col min="11" max="11" width="15.140625" style="1" customWidth="1"/>
    <col min="12" max="12" width="16.5703125" style="1" customWidth="1"/>
    <col min="13" max="13" width="10.85546875" style="124" customWidth="1"/>
    <col min="14" max="14" width="9.140625" style="1"/>
    <col min="15" max="15" width="14.5703125" style="1" customWidth="1"/>
    <col min="16" max="16384" width="9.140625" style="1"/>
  </cols>
  <sheetData>
    <row r="1" spans="1:29" ht="15" customHeight="1">
      <c r="A1" s="403" t="s">
        <v>196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167"/>
      <c r="N1" s="168"/>
      <c r="O1" s="168"/>
      <c r="P1" s="168"/>
      <c r="Q1" s="168"/>
      <c r="R1" s="169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</row>
    <row r="2" spans="1:29" ht="15" customHeight="1">
      <c r="A2" s="405" t="s">
        <v>71</v>
      </c>
      <c r="B2" s="405"/>
      <c r="C2" s="405"/>
      <c r="D2" s="405"/>
      <c r="E2" s="405"/>
      <c r="F2" s="357"/>
      <c r="G2" s="357"/>
      <c r="H2" s="170"/>
      <c r="I2" s="405" t="s">
        <v>70</v>
      </c>
      <c r="J2" s="405"/>
      <c r="K2" s="405"/>
      <c r="L2" s="405"/>
      <c r="M2" s="405"/>
      <c r="N2" s="171"/>
      <c r="O2" s="171"/>
      <c r="P2" s="171"/>
      <c r="Q2" s="171"/>
      <c r="R2" s="171"/>
    </row>
    <row r="3" spans="1:29" ht="15" customHeight="1">
      <c r="A3" s="173" t="s">
        <v>0</v>
      </c>
      <c r="B3" s="174" t="s">
        <v>73</v>
      </c>
      <c r="C3" s="175" t="s">
        <v>156</v>
      </c>
      <c r="D3" s="175" t="s">
        <v>181</v>
      </c>
      <c r="E3" s="175" t="s">
        <v>233</v>
      </c>
      <c r="F3" s="175" t="s">
        <v>234</v>
      </c>
      <c r="G3" s="358"/>
      <c r="H3" s="170"/>
      <c r="I3" s="176" t="s">
        <v>0</v>
      </c>
      <c r="J3" s="175" t="s">
        <v>73</v>
      </c>
      <c r="K3" s="175" t="s">
        <v>156</v>
      </c>
      <c r="L3" s="177" t="s">
        <v>181</v>
      </c>
      <c r="M3" s="178" t="s">
        <v>233</v>
      </c>
      <c r="N3" s="177" t="s">
        <v>234</v>
      </c>
      <c r="O3" s="179"/>
      <c r="P3" s="179"/>
      <c r="Q3" s="179"/>
      <c r="R3" s="171"/>
    </row>
    <row r="4" spans="1:29" ht="15" customHeight="1">
      <c r="A4" s="176" t="s">
        <v>1</v>
      </c>
      <c r="B4" s="347">
        <v>21414.493999999999</v>
      </c>
      <c r="C4" s="347">
        <v>21736.34</v>
      </c>
      <c r="D4" s="347">
        <v>24371.9</v>
      </c>
      <c r="E4" s="347">
        <v>28655.8</v>
      </c>
      <c r="F4" s="347">
        <v>28733</v>
      </c>
      <c r="G4" s="359"/>
      <c r="H4" s="181"/>
      <c r="I4" s="182" t="s">
        <v>25</v>
      </c>
      <c r="J4" s="182">
        <v>243.91399999999999</v>
      </c>
      <c r="K4" s="182">
        <v>243.91399999999999</v>
      </c>
      <c r="L4" s="182">
        <v>243.9</v>
      </c>
      <c r="M4" s="182">
        <v>243.9</v>
      </c>
      <c r="N4" s="182">
        <v>487.8</v>
      </c>
      <c r="O4" s="171"/>
      <c r="P4" s="171"/>
      <c r="Q4" s="171"/>
      <c r="R4" s="171"/>
    </row>
    <row r="5" spans="1:29" ht="15" customHeight="1">
      <c r="A5" s="182" t="s">
        <v>6</v>
      </c>
      <c r="B5" s="409">
        <v>275.56700000000001</v>
      </c>
      <c r="C5" s="409">
        <v>399.88299999999998</v>
      </c>
      <c r="D5" s="409">
        <v>520.77599999999995</v>
      </c>
      <c r="E5" s="409">
        <v>791.6</v>
      </c>
      <c r="F5" s="409">
        <v>865</v>
      </c>
      <c r="G5" s="360"/>
      <c r="H5" s="171"/>
      <c r="I5" s="182" t="s">
        <v>26</v>
      </c>
      <c r="J5" s="183">
        <v>7057.116</v>
      </c>
      <c r="K5" s="183">
        <v>8953.5120000000006</v>
      </c>
      <c r="L5" s="182">
        <v>11599</v>
      </c>
      <c r="M5" s="184">
        <v>13681.7</v>
      </c>
      <c r="N5" s="182">
        <v>15516.1</v>
      </c>
      <c r="O5" s="171"/>
      <c r="P5" s="171"/>
      <c r="Q5" s="171"/>
      <c r="R5" s="171"/>
    </row>
    <row r="6" spans="1:29" ht="15" customHeight="1">
      <c r="A6" s="176" t="s">
        <v>194</v>
      </c>
      <c r="B6" s="379">
        <f t="shared" ref="B6:E6" si="0">B4+B5</f>
        <v>21690.060999999998</v>
      </c>
      <c r="C6" s="379">
        <f t="shared" si="0"/>
        <v>22136.223000000002</v>
      </c>
      <c r="D6" s="379">
        <f t="shared" si="0"/>
        <v>24892.676000000003</v>
      </c>
      <c r="E6" s="379">
        <f t="shared" si="0"/>
        <v>29447.399999999998</v>
      </c>
      <c r="F6" s="379">
        <f>F4+F5</f>
        <v>29598</v>
      </c>
      <c r="G6" s="288"/>
      <c r="H6" s="171"/>
      <c r="I6" s="2" t="s">
        <v>220</v>
      </c>
      <c r="J6" s="2"/>
      <c r="K6" s="2">
        <v>66.738</v>
      </c>
      <c r="L6" s="2">
        <v>89.2</v>
      </c>
      <c r="M6" s="2">
        <v>76.3</v>
      </c>
      <c r="N6" s="186">
        <v>82.6</v>
      </c>
      <c r="O6" s="288"/>
      <c r="P6" s="288"/>
      <c r="Q6" s="288"/>
      <c r="R6" s="171"/>
    </row>
    <row r="7" spans="1:29" ht="15" customHeight="1">
      <c r="A7" s="189" t="s">
        <v>2</v>
      </c>
      <c r="B7" s="192"/>
      <c r="C7" s="391">
        <f>(C4/B4-1)</f>
        <v>1.5029353483673402E-2</v>
      </c>
      <c r="D7" s="391">
        <f>(D4/C4-1)</f>
        <v>0.12125132381992554</v>
      </c>
      <c r="E7" s="391">
        <f>(E4/D4-1)</f>
        <v>0.17577209819505235</v>
      </c>
      <c r="F7" s="391">
        <f>(F4/E4-1)</f>
        <v>2.6940444866310198E-3</v>
      </c>
      <c r="G7" s="361"/>
      <c r="H7" s="171"/>
      <c r="I7" s="187" t="s">
        <v>27</v>
      </c>
      <c r="J7" s="188">
        <f>(J4+J5+J6)</f>
        <v>7301.03</v>
      </c>
      <c r="K7" s="188">
        <f>(K4+K5+K6)</f>
        <v>9264.1640000000007</v>
      </c>
      <c r="L7" s="188">
        <f>(L4+L5+L6)</f>
        <v>11932.1</v>
      </c>
      <c r="M7" s="188">
        <f>(M4+M5+M6)</f>
        <v>14001.9</v>
      </c>
      <c r="N7" s="188">
        <f>(N4+N5+N6)</f>
        <v>16086.5</v>
      </c>
      <c r="O7" s="290"/>
      <c r="P7" s="290"/>
      <c r="Q7" s="290"/>
      <c r="R7" s="171"/>
    </row>
    <row r="8" spans="1:29" ht="15" customHeight="1">
      <c r="A8" s="189" t="s">
        <v>74</v>
      </c>
      <c r="B8" s="192"/>
      <c r="C8" s="391"/>
      <c r="D8" s="391">
        <f>+((D4/B4)^(1/3)-1)</f>
        <v>4.4064165667896837E-2</v>
      </c>
      <c r="E8" s="391">
        <f>+((E4/B4)^(1/3)-1)</f>
        <v>0.10196611448765358</v>
      </c>
      <c r="F8" s="391">
        <f>+((F4/C4)^(1/3)-1)</f>
        <v>9.7483967782375558E-2</v>
      </c>
      <c r="G8" s="361"/>
      <c r="H8" s="171"/>
      <c r="I8" s="182" t="s">
        <v>28</v>
      </c>
      <c r="J8" s="190">
        <v>0</v>
      </c>
      <c r="K8" s="190">
        <v>0</v>
      </c>
      <c r="L8" s="190">
        <v>0</v>
      </c>
      <c r="M8" s="191">
        <v>0</v>
      </c>
      <c r="N8" s="201"/>
      <c r="O8" s="291"/>
      <c r="P8" s="291"/>
      <c r="Q8" s="291"/>
      <c r="R8" s="171"/>
    </row>
    <row r="9" spans="1:29" ht="15" customHeight="1">
      <c r="A9" s="176" t="s">
        <v>3</v>
      </c>
      <c r="B9" s="348">
        <f t="shared" ref="B9:E9" si="1">B20+B23+B10+B14+B16+B18</f>
        <v>19304.284000000003</v>
      </c>
      <c r="C9" s="348">
        <f t="shared" si="1"/>
        <v>18732.190000000002</v>
      </c>
      <c r="D9" s="348">
        <f t="shared" si="1"/>
        <v>20730.357</v>
      </c>
      <c r="E9" s="348">
        <f t="shared" si="1"/>
        <v>25506.400000000005</v>
      </c>
      <c r="F9" s="379">
        <f>F20+F23+F10+F14+F16+F18</f>
        <v>25760.399999999998</v>
      </c>
      <c r="G9" s="362"/>
      <c r="H9" s="171"/>
      <c r="I9" s="182" t="s">
        <v>29</v>
      </c>
      <c r="J9" s="183">
        <v>55.536000000000001</v>
      </c>
      <c r="K9" s="183">
        <v>1571.3150000000001</v>
      </c>
      <c r="L9" s="183">
        <v>1326.3</v>
      </c>
      <c r="M9" s="193">
        <v>2281.8000000000002</v>
      </c>
      <c r="N9" s="201">
        <v>2838.1</v>
      </c>
      <c r="O9" s="291"/>
      <c r="P9" s="291"/>
      <c r="Q9" s="291"/>
      <c r="R9" s="171"/>
    </row>
    <row r="10" spans="1:29" ht="15" customHeight="1">
      <c r="A10" s="176" t="s">
        <v>197</v>
      </c>
      <c r="B10" s="348">
        <v>11703.244000000001</v>
      </c>
      <c r="C10" s="348">
        <v>10880.966</v>
      </c>
      <c r="D10" s="348">
        <v>13768.4</v>
      </c>
      <c r="E10" s="348">
        <v>18332.5</v>
      </c>
      <c r="F10" s="379">
        <v>16183</v>
      </c>
      <c r="G10" s="362"/>
      <c r="H10" s="171"/>
      <c r="I10" s="182" t="s">
        <v>30</v>
      </c>
      <c r="J10" s="183">
        <v>226.63800000000001</v>
      </c>
      <c r="K10" s="183">
        <v>360.17700000000002</v>
      </c>
      <c r="L10" s="183">
        <v>729.9</v>
      </c>
      <c r="M10" s="193">
        <v>1095.7</v>
      </c>
      <c r="N10" s="201">
        <v>1838.1</v>
      </c>
      <c r="O10" s="291"/>
      <c r="P10" s="291"/>
      <c r="Q10" s="291"/>
      <c r="R10" s="171"/>
    </row>
    <row r="11" spans="1:29" ht="15" customHeight="1">
      <c r="A11" s="393" t="s">
        <v>190</v>
      </c>
      <c r="B11" s="410">
        <f t="shared" ref="B11:F11" si="2">B10/B4</f>
        <v>0.54651041486200891</v>
      </c>
      <c r="C11" s="410">
        <f t="shared" si="2"/>
        <v>0.50058869156444918</v>
      </c>
      <c r="D11" s="410">
        <f t="shared" si="2"/>
        <v>0.5649292833139804</v>
      </c>
      <c r="E11" s="410">
        <f t="shared" si="2"/>
        <v>0.6397483232015857</v>
      </c>
      <c r="F11" s="410">
        <f t="shared" si="2"/>
        <v>0.56321999095117115</v>
      </c>
      <c r="G11" s="363"/>
      <c r="H11" s="171"/>
      <c r="I11" s="187" t="s">
        <v>31</v>
      </c>
      <c r="J11" s="188">
        <f>(J9+J10)</f>
        <v>282.17399999999998</v>
      </c>
      <c r="K11" s="188">
        <f>(K9+K10)</f>
        <v>1931.4920000000002</v>
      </c>
      <c r="L11" s="188">
        <f>(L9+L10)</f>
        <v>2056.1999999999998</v>
      </c>
      <c r="M11" s="188">
        <f>(M9+M10)</f>
        <v>3377.5</v>
      </c>
      <c r="N11" s="188">
        <f>(N9+N10)</f>
        <v>4676.2</v>
      </c>
      <c r="O11" s="291"/>
      <c r="P11" s="291"/>
      <c r="Q11" s="291"/>
      <c r="R11" s="171"/>
    </row>
    <row r="12" spans="1:29" ht="15" customHeight="1">
      <c r="A12" s="393" t="s">
        <v>201</v>
      </c>
      <c r="B12" s="411"/>
      <c r="C12" s="411">
        <f>C10/B10-1</f>
        <v>-7.0260690112929347E-2</v>
      </c>
      <c r="D12" s="411">
        <f>D10/C10-1</f>
        <v>0.26536559345925714</v>
      </c>
      <c r="E12" s="411">
        <f>E10/D10-1</f>
        <v>0.33149095029197295</v>
      </c>
      <c r="F12" s="411">
        <f>F10/E10-1</f>
        <v>-0.11725078412655121</v>
      </c>
      <c r="G12" s="363"/>
      <c r="H12" s="171"/>
      <c r="I12" s="187" t="s">
        <v>32</v>
      </c>
      <c r="J12" s="188">
        <f t="shared" ref="J12:L12" si="3">J7+J9+SUM(J45:J49)</f>
        <v>8197.8240000000005</v>
      </c>
      <c r="K12" s="188">
        <f t="shared" si="3"/>
        <v>12591.722000000002</v>
      </c>
      <c r="L12" s="188">
        <f t="shared" si="3"/>
        <v>14999.4</v>
      </c>
      <c r="M12" s="188">
        <f>M7+M9+SUM(M45:M49)</f>
        <v>18135.900000000001</v>
      </c>
      <c r="N12" s="188">
        <f>N7+N9+SUM(N45:N49)</f>
        <v>20274.5</v>
      </c>
      <c r="O12" s="291"/>
      <c r="P12" s="291"/>
      <c r="Q12" s="291"/>
      <c r="R12" s="171"/>
    </row>
    <row r="13" spans="1:29" ht="15" customHeight="1">
      <c r="A13" s="327" t="s">
        <v>253</v>
      </c>
      <c r="B13" s="326">
        <f t="shared" ref="B13:E13" si="4">(B4-B10)/B4</f>
        <v>0.45348958513799104</v>
      </c>
      <c r="C13" s="326">
        <f t="shared" si="4"/>
        <v>0.49941130843555076</v>
      </c>
      <c r="D13" s="326">
        <f t="shared" si="4"/>
        <v>0.4350707166860196</v>
      </c>
      <c r="E13" s="326">
        <f t="shared" si="4"/>
        <v>0.36025167679841424</v>
      </c>
      <c r="F13" s="400">
        <f t="shared" ref="F13" si="5">(F4-F10)/F4</f>
        <v>0.43678000904882885</v>
      </c>
      <c r="G13" s="364"/>
      <c r="H13" s="171"/>
      <c r="I13" s="187" t="s">
        <v>32</v>
      </c>
      <c r="J13" s="194">
        <f>SUM(J16:J26)+J44-J45-J46-J47-J49</f>
        <v>7583.2039999999997</v>
      </c>
      <c r="K13" s="194">
        <f>SUM(K16:K26)+K44-K45-K46-K47-K49</f>
        <v>11195.656000000001</v>
      </c>
      <c r="L13" s="194">
        <f>SUM(L16:L26)+L44-L45-L46-L47-L49</f>
        <v>13990.868000000002</v>
      </c>
      <c r="M13" s="194">
        <f t="shared" ref="M13:N13" si="6">SUM(M16:M26)+M44-M45-M46-M47-M49</f>
        <v>17381.799999999996</v>
      </c>
      <c r="N13" s="194">
        <f t="shared" si="6"/>
        <v>22602.799999999996</v>
      </c>
      <c r="O13" s="291"/>
      <c r="P13" s="291"/>
      <c r="Q13" s="291"/>
      <c r="R13" s="171"/>
    </row>
    <row r="14" spans="1:29" ht="15" customHeight="1">
      <c r="A14" s="176" t="s">
        <v>198</v>
      </c>
      <c r="B14" s="348">
        <v>466.25299999999999</v>
      </c>
      <c r="C14" s="348">
        <v>179.833</v>
      </c>
      <c r="D14" s="348">
        <v>179.94800000000001</v>
      </c>
      <c r="E14" s="348">
        <v>535.4</v>
      </c>
      <c r="F14" s="379">
        <v>1806.3</v>
      </c>
      <c r="G14" s="362"/>
      <c r="H14" s="171"/>
      <c r="I14" s="187" t="s">
        <v>222</v>
      </c>
      <c r="J14" s="194">
        <f>SUM(J16:J26)</f>
        <v>4760.991</v>
      </c>
      <c r="K14" s="194">
        <f>SUM(K16:K26)</f>
        <v>8870.1650000000009</v>
      </c>
      <c r="L14" s="194">
        <f>SUM(L16:L26)</f>
        <v>12380.468000000001</v>
      </c>
      <c r="M14" s="194">
        <f>SUM(M16:M26)</f>
        <v>15767.799999999997</v>
      </c>
      <c r="N14" s="194">
        <f>SUM(N16:N26)</f>
        <v>12775.299999999996</v>
      </c>
      <c r="O14" s="291"/>
      <c r="P14" s="291"/>
      <c r="Q14" s="291"/>
      <c r="R14" s="171"/>
    </row>
    <row r="15" spans="1:29" ht="15" customHeight="1">
      <c r="A15" s="393" t="s">
        <v>190</v>
      </c>
      <c r="B15" s="410">
        <f t="shared" ref="B15:F15" si="7">B14/B4</f>
        <v>2.1772776886533018E-2</v>
      </c>
      <c r="C15" s="410">
        <f t="shared" si="7"/>
        <v>8.2733799710530843E-3</v>
      </c>
      <c r="D15" s="410">
        <f t="shared" si="7"/>
        <v>7.3834210709874896E-3</v>
      </c>
      <c r="E15" s="410">
        <f t="shared" si="7"/>
        <v>1.8683826659873393E-2</v>
      </c>
      <c r="F15" s="410">
        <f t="shared" si="7"/>
        <v>6.2864998433856539E-2</v>
      </c>
      <c r="G15" s="363"/>
      <c r="H15" s="171"/>
      <c r="I15" s="182" t="s">
        <v>67</v>
      </c>
      <c r="J15" s="195"/>
      <c r="K15" s="195"/>
      <c r="L15" s="182"/>
      <c r="M15" s="184"/>
      <c r="N15" s="201"/>
      <c r="O15" s="291"/>
      <c r="P15" s="291"/>
      <c r="Q15" s="291"/>
      <c r="R15" s="171"/>
    </row>
    <row r="16" spans="1:29" ht="15" customHeight="1">
      <c r="A16" s="170" t="s">
        <v>200</v>
      </c>
      <c r="B16" s="351">
        <f>-116.724</f>
        <v>-116.724</v>
      </c>
      <c r="C16" s="351">
        <f>-14.408</f>
        <v>-14.407999999999999</v>
      </c>
      <c r="D16" s="351">
        <f>-60.044</f>
        <v>-60.043999999999997</v>
      </c>
      <c r="E16" s="351">
        <v>-97.8</v>
      </c>
      <c r="F16" s="380">
        <v>-120.9</v>
      </c>
      <c r="G16" s="365"/>
      <c r="H16" s="171"/>
      <c r="I16" s="182" t="s">
        <v>151</v>
      </c>
      <c r="J16" s="197">
        <v>3396.1179999999999</v>
      </c>
      <c r="K16" s="197">
        <v>4204.41</v>
      </c>
      <c r="L16" s="198">
        <v>4299.8</v>
      </c>
      <c r="M16" s="199">
        <v>4354.7</v>
      </c>
      <c r="N16" s="201">
        <v>4290.3999999999996</v>
      </c>
      <c r="O16" s="291"/>
      <c r="P16" s="291"/>
      <c r="Q16" s="291"/>
      <c r="R16" s="171"/>
    </row>
    <row r="17" spans="1:18" ht="15" customHeight="1">
      <c r="A17" s="393" t="s">
        <v>190</v>
      </c>
      <c r="B17" s="410">
        <f t="shared" ref="B17:E17" si="8">B16/B4</f>
        <v>-5.4507008197345226E-3</v>
      </c>
      <c r="C17" s="410">
        <f t="shared" si="8"/>
        <v>-6.6285308382183937E-4</v>
      </c>
      <c r="D17" s="410">
        <f t="shared" si="8"/>
        <v>-2.4636569163667991E-3</v>
      </c>
      <c r="E17" s="410">
        <f t="shared" si="8"/>
        <v>-3.4129216423900224E-3</v>
      </c>
      <c r="F17" s="410">
        <f>F16/F4</f>
        <v>-4.2077054258170049E-3</v>
      </c>
      <c r="G17" s="366"/>
      <c r="H17" s="171"/>
      <c r="I17" s="182" t="s">
        <v>202</v>
      </c>
      <c r="J17" s="197">
        <v>7.3940000000000001</v>
      </c>
      <c r="K17" s="197">
        <v>179.732</v>
      </c>
      <c r="L17" s="197">
        <v>325.60000000000002</v>
      </c>
      <c r="M17" s="180">
        <v>1198.9000000000001</v>
      </c>
      <c r="N17" s="201">
        <v>2874.9</v>
      </c>
      <c r="O17" s="291"/>
      <c r="P17" s="291"/>
      <c r="Q17" s="291"/>
      <c r="R17" s="171"/>
    </row>
    <row r="18" spans="1:18" ht="15" customHeight="1">
      <c r="A18" s="176" t="s">
        <v>199</v>
      </c>
      <c r="B18" s="348">
        <v>572.50099999999998</v>
      </c>
      <c r="C18" s="348">
        <v>706.25800000000004</v>
      </c>
      <c r="D18" s="348">
        <v>496.2</v>
      </c>
      <c r="E18" s="348">
        <v>622.9</v>
      </c>
      <c r="F18" s="379">
        <v>676.5</v>
      </c>
      <c r="G18" s="362"/>
      <c r="H18" s="171"/>
      <c r="I18" s="182" t="s">
        <v>203</v>
      </c>
      <c r="J18" s="201">
        <v>0</v>
      </c>
      <c r="K18" s="201">
        <v>1166.575</v>
      </c>
      <c r="L18" s="198">
        <v>1418</v>
      </c>
      <c r="M18" s="199">
        <v>1393.6</v>
      </c>
      <c r="N18" s="201">
        <v>1085.5</v>
      </c>
      <c r="O18" s="291"/>
      <c r="P18" s="291"/>
      <c r="Q18" s="291"/>
      <c r="R18" s="171"/>
    </row>
    <row r="19" spans="1:18" ht="15" customHeight="1">
      <c r="A19" s="393" t="s">
        <v>190</v>
      </c>
      <c r="B19" s="410">
        <f t="shared" ref="B19:F19" si="9">B18/B4</f>
        <v>2.6734276327052137E-2</v>
      </c>
      <c r="C19" s="410">
        <f t="shared" si="9"/>
        <v>3.2492038678084721E-2</v>
      </c>
      <c r="D19" s="410">
        <f t="shared" si="9"/>
        <v>2.0359512389267968E-2</v>
      </c>
      <c r="E19" s="410">
        <f t="shared" si="9"/>
        <v>2.1737309724383893E-2</v>
      </c>
      <c r="F19" s="410">
        <f t="shared" si="9"/>
        <v>2.3544356663070337E-2</v>
      </c>
      <c r="G19" s="366"/>
      <c r="H19" s="171"/>
      <c r="I19" s="182" t="s">
        <v>204</v>
      </c>
      <c r="J19" s="201">
        <v>638.81799999999998</v>
      </c>
      <c r="K19" s="203">
        <v>590.44799999999998</v>
      </c>
      <c r="L19" s="198">
        <v>590.5</v>
      </c>
      <c r="M19" s="199">
        <v>561.70000000000005</v>
      </c>
      <c r="N19" s="201">
        <v>533.9</v>
      </c>
      <c r="O19" s="291"/>
      <c r="P19" s="291"/>
      <c r="Q19" s="291"/>
      <c r="R19" s="171"/>
    </row>
    <row r="20" spans="1:18" ht="15" customHeight="1">
      <c r="A20" s="182" t="s">
        <v>55</v>
      </c>
      <c r="B20" s="352">
        <v>1773.152</v>
      </c>
      <c r="C20" s="352">
        <v>2203.54</v>
      </c>
      <c r="D20" s="353">
        <v>2317.0410000000002</v>
      </c>
      <c r="E20" s="354">
        <v>2554.8000000000002</v>
      </c>
      <c r="F20" s="354">
        <v>2791.5</v>
      </c>
      <c r="G20" s="367"/>
      <c r="H20" s="202"/>
      <c r="I20" s="182" t="s">
        <v>205</v>
      </c>
      <c r="J20" s="201">
        <v>81.855999999999995</v>
      </c>
      <c r="K20" s="203">
        <v>2545.9</v>
      </c>
      <c r="L20" s="198">
        <v>2630.6680000000001</v>
      </c>
      <c r="M20" s="199">
        <v>2520.3000000000002</v>
      </c>
      <c r="N20" s="195">
        <v>2740.2</v>
      </c>
      <c r="O20" s="288"/>
      <c r="P20" s="288"/>
      <c r="Q20" s="288"/>
      <c r="R20" s="171"/>
    </row>
    <row r="21" spans="1:18" ht="15" customHeight="1">
      <c r="A21" s="189" t="s">
        <v>190</v>
      </c>
      <c r="B21" s="392">
        <f>B20/B4</f>
        <v>8.280148949585267E-2</v>
      </c>
      <c r="C21" s="392">
        <f>C20/C4</f>
        <v>0.10137585260444031</v>
      </c>
      <c r="D21" s="392">
        <f>D20/D4</f>
        <v>9.5070183284848536E-2</v>
      </c>
      <c r="E21" s="392">
        <f>E20/E4</f>
        <v>8.915472609384488E-2</v>
      </c>
      <c r="F21" s="392">
        <f>F20/F4</f>
        <v>9.7153099223888914E-2</v>
      </c>
      <c r="G21" s="366"/>
      <c r="H21" s="202"/>
      <c r="I21" s="182" t="s">
        <v>259</v>
      </c>
      <c r="J21" s="201">
        <v>0</v>
      </c>
      <c r="K21" s="203">
        <v>0.14399999999999999</v>
      </c>
      <c r="L21" s="198">
        <v>0</v>
      </c>
      <c r="M21" s="199">
        <v>78.3</v>
      </c>
      <c r="N21" s="195">
        <v>136.80000000000001</v>
      </c>
      <c r="O21" s="288"/>
      <c r="P21" s="288"/>
      <c r="Q21" s="288"/>
      <c r="R21" s="171"/>
    </row>
    <row r="22" spans="1:18" ht="15" customHeight="1">
      <c r="A22" s="189" t="s">
        <v>2</v>
      </c>
      <c r="B22" s="255"/>
      <c r="C22" s="255">
        <f>(C20/B20-1)</f>
        <v>0.24272481998159212</v>
      </c>
      <c r="D22" s="255">
        <f>(D20/C20-1)</f>
        <v>5.1508481806547657E-2</v>
      </c>
      <c r="E22" s="255">
        <f>(E20/D20-1)</f>
        <v>0.1026132036506906</v>
      </c>
      <c r="F22" s="255">
        <f>(F20/E20-1)</f>
        <v>9.2649131047439992E-2</v>
      </c>
      <c r="G22" s="368"/>
      <c r="H22" s="171"/>
      <c r="I22" s="182" t="s">
        <v>206</v>
      </c>
      <c r="J22" s="201">
        <v>491.76900000000001</v>
      </c>
      <c r="K22" s="190">
        <v>118.33199999999999</v>
      </c>
      <c r="L22" s="198">
        <v>3036</v>
      </c>
      <c r="M22" s="199">
        <v>5288.3</v>
      </c>
      <c r="N22" s="195">
        <v>564.1</v>
      </c>
      <c r="O22" s="288"/>
      <c r="P22" s="288"/>
      <c r="Q22" s="288"/>
      <c r="R22" s="171"/>
    </row>
    <row r="23" spans="1:18" ht="15" customHeight="1">
      <c r="A23" s="182" t="s">
        <v>180</v>
      </c>
      <c r="B23" s="352">
        <v>4905.8580000000002</v>
      </c>
      <c r="C23" s="352">
        <v>4776.0010000000002</v>
      </c>
      <c r="D23" s="355">
        <v>4028.8119999999999</v>
      </c>
      <c r="E23" s="352">
        <v>3558.6</v>
      </c>
      <c r="F23" s="352">
        <v>4424</v>
      </c>
      <c r="G23" s="369"/>
      <c r="H23" s="202"/>
      <c r="I23" s="182" t="s">
        <v>207</v>
      </c>
      <c r="J23" s="203">
        <v>28.568999999999999</v>
      </c>
      <c r="K23" s="203">
        <v>25.829000000000001</v>
      </c>
      <c r="L23" s="198">
        <v>1.6</v>
      </c>
      <c r="M23" s="199">
        <v>0.9</v>
      </c>
      <c r="N23" s="196">
        <v>19.399999999999999</v>
      </c>
      <c r="O23" s="289"/>
      <c r="P23" s="289"/>
      <c r="Q23" s="289"/>
      <c r="R23" s="171"/>
    </row>
    <row r="24" spans="1:18" ht="15" customHeight="1">
      <c r="A24" s="189" t="s">
        <v>190</v>
      </c>
      <c r="B24" s="255">
        <f t="shared" ref="B24:F24" si="10">B23/B4</f>
        <v>0.22909054026679315</v>
      </c>
      <c r="C24" s="255">
        <f t="shared" si="10"/>
        <v>0.21972424980470495</v>
      </c>
      <c r="D24" s="255">
        <f t="shared" si="10"/>
        <v>0.1653056183555652</v>
      </c>
      <c r="E24" s="255">
        <f t="shared" si="10"/>
        <v>0.12418428380990934</v>
      </c>
      <c r="F24" s="255">
        <f t="shared" si="10"/>
        <v>0.15396930358820868</v>
      </c>
      <c r="G24" s="366"/>
      <c r="H24" s="202"/>
      <c r="I24" s="182" t="s">
        <v>221</v>
      </c>
      <c r="J24" s="203">
        <v>11.147</v>
      </c>
      <c r="K24" s="203">
        <v>21.291</v>
      </c>
      <c r="L24" s="198">
        <v>51.9</v>
      </c>
      <c r="M24" s="199">
        <v>45.4</v>
      </c>
      <c r="N24" s="196">
        <v>51.9</v>
      </c>
      <c r="O24" s="289"/>
      <c r="P24" s="289"/>
      <c r="Q24" s="289"/>
      <c r="R24" s="171"/>
    </row>
    <row r="25" spans="1:18" ht="15" customHeight="1">
      <c r="A25" s="187" t="s">
        <v>4</v>
      </c>
      <c r="B25" s="320">
        <f t="shared" ref="B25:D25" si="11">B4-B9</f>
        <v>2110.2099999999955</v>
      </c>
      <c r="C25" s="320">
        <f t="shared" si="11"/>
        <v>3004.1499999999978</v>
      </c>
      <c r="D25" s="320">
        <f t="shared" si="11"/>
        <v>3641.5430000000015</v>
      </c>
      <c r="E25" s="320">
        <f>E4-E9</f>
        <v>3149.3999999999942</v>
      </c>
      <c r="F25" s="401">
        <f>F4-F9</f>
        <v>2972.6000000000022</v>
      </c>
      <c r="G25" s="370"/>
      <c r="H25" s="202"/>
      <c r="I25" s="182" t="s">
        <v>262</v>
      </c>
      <c r="J25" s="190">
        <v>87.471999999999994</v>
      </c>
      <c r="K25" s="206">
        <v>4.0830000000000002</v>
      </c>
      <c r="L25" s="198">
        <v>0</v>
      </c>
      <c r="M25" s="199">
        <v>69.3</v>
      </c>
      <c r="N25" s="182">
        <v>123.9</v>
      </c>
      <c r="O25" s="171"/>
      <c r="P25" s="171"/>
      <c r="Q25" s="171"/>
      <c r="R25" s="171"/>
    </row>
    <row r="26" spans="1:18" ht="15" customHeight="1">
      <c r="A26" s="189" t="s">
        <v>2</v>
      </c>
      <c r="B26" s="391"/>
      <c r="C26" s="391">
        <f>(C25/B25-1)</f>
        <v>0.42362608460769513</v>
      </c>
      <c r="D26" s="391">
        <f>(D25/C25-1)</f>
        <v>0.21217083035134876</v>
      </c>
      <c r="E26" s="391">
        <f>(E25/D25-1)</f>
        <v>-0.13514683198852984</v>
      </c>
      <c r="F26" s="391">
        <f>(F25/E25-1)</f>
        <v>-5.6137677017842225E-2</v>
      </c>
      <c r="G26" s="361"/>
      <c r="H26" s="171"/>
      <c r="I26" s="182" t="s">
        <v>152</v>
      </c>
      <c r="J26" s="203">
        <v>17.847999999999999</v>
      </c>
      <c r="K26" s="206">
        <v>13.420999999999999</v>
      </c>
      <c r="L26" s="198">
        <v>26.4</v>
      </c>
      <c r="M26" s="199">
        <v>256.39999999999998</v>
      </c>
      <c r="N26" s="182">
        <v>354.3</v>
      </c>
      <c r="O26" s="171"/>
      <c r="P26" s="171"/>
      <c r="Q26" s="171"/>
      <c r="R26" s="171"/>
    </row>
    <row r="27" spans="1:18" ht="15" customHeight="1">
      <c r="A27" s="189" t="s">
        <v>74</v>
      </c>
      <c r="B27" s="391"/>
      <c r="C27" s="391"/>
      <c r="D27" s="391"/>
      <c r="E27" s="394"/>
      <c r="F27" s="394"/>
      <c r="G27" s="371"/>
      <c r="H27" s="171"/>
      <c r="I27" s="187" t="s">
        <v>33</v>
      </c>
      <c r="J27" s="188">
        <f>SUM(J28:J35)</f>
        <v>6857.0059999999994</v>
      </c>
      <c r="K27" s="188">
        <f>SUM(K28:K35)</f>
        <v>7568.6769999999997</v>
      </c>
      <c r="L27" s="188">
        <f>SUM(L28:L35)</f>
        <v>8313.1</v>
      </c>
      <c r="M27" s="188">
        <f>SUM(M28:M35)</f>
        <v>7864.8999999999987</v>
      </c>
      <c r="N27" s="188">
        <f>SUM(N28:N35)+N10</f>
        <v>16170.800000000005</v>
      </c>
      <c r="O27" s="292"/>
      <c r="P27" s="292"/>
      <c r="Q27" s="292"/>
      <c r="R27" s="171"/>
    </row>
    <row r="28" spans="1:18" ht="15" customHeight="1">
      <c r="A28" s="187" t="s">
        <v>5</v>
      </c>
      <c r="B28" s="323">
        <f>(B25/B4)</f>
        <v>9.8541202981494477E-2</v>
      </c>
      <c r="C28" s="323">
        <f>(C25/C4)</f>
        <v>0.13820864046108949</v>
      </c>
      <c r="D28" s="323">
        <f>D25/D4</f>
        <v>0.14941563850171719</v>
      </c>
      <c r="E28" s="324">
        <f>E25/E4</f>
        <v>0.1099044521527926</v>
      </c>
      <c r="F28" s="323">
        <f>F25/F4</f>
        <v>0.10345595656562148</v>
      </c>
      <c r="G28" s="372"/>
      <c r="H28" s="171"/>
      <c r="I28" s="182" t="s">
        <v>208</v>
      </c>
      <c r="J28" s="185">
        <v>1871.367</v>
      </c>
      <c r="K28" s="185">
        <v>2268.5839999999998</v>
      </c>
      <c r="L28" s="198">
        <v>3153.1</v>
      </c>
      <c r="M28" s="199">
        <v>3144.6</v>
      </c>
      <c r="N28" s="197">
        <v>3313.3</v>
      </c>
      <c r="O28" s="207"/>
      <c r="P28" s="207"/>
      <c r="Q28" s="207"/>
      <c r="R28" s="171"/>
    </row>
    <row r="29" spans="1:18" ht="15" customHeight="1">
      <c r="A29" s="182" t="s">
        <v>7</v>
      </c>
      <c r="B29" s="413">
        <v>395.27199999999999</v>
      </c>
      <c r="C29" s="413">
        <v>590.44299999999998</v>
      </c>
      <c r="D29" s="413">
        <v>728.673</v>
      </c>
      <c r="E29" s="413">
        <v>807.8</v>
      </c>
      <c r="F29" s="413">
        <v>896.2</v>
      </c>
      <c r="G29" s="291"/>
      <c r="H29" s="171"/>
      <c r="I29" s="182" t="s">
        <v>209</v>
      </c>
      <c r="J29" s="183">
        <v>2683.8110000000001</v>
      </c>
      <c r="K29" s="183">
        <v>2196.009</v>
      </c>
      <c r="L29" s="198">
        <v>1070.0999999999999</v>
      </c>
      <c r="M29" s="199">
        <v>893.8</v>
      </c>
      <c r="N29" s="198">
        <v>7119.6</v>
      </c>
      <c r="O29" s="292"/>
      <c r="P29" s="292"/>
      <c r="Q29" s="292"/>
      <c r="R29" s="171"/>
    </row>
    <row r="30" spans="1:18" ht="15" customHeight="1">
      <c r="A30" s="189" t="s">
        <v>190</v>
      </c>
      <c r="B30" s="412">
        <f t="shared" ref="B30:E30" si="12">B29/B4</f>
        <v>1.8458152688548234E-2</v>
      </c>
      <c r="C30" s="412">
        <f t="shared" si="12"/>
        <v>2.7163864753679781E-2</v>
      </c>
      <c r="D30" s="412">
        <f t="shared" si="12"/>
        <v>2.9898079345475729E-2</v>
      </c>
      <c r="E30" s="412">
        <f t="shared" si="12"/>
        <v>2.8189755651560941E-2</v>
      </c>
      <c r="F30" s="412">
        <f t="shared" ref="F30" si="13">F29/F4</f>
        <v>3.1190617060522747E-2</v>
      </c>
      <c r="G30" s="366"/>
      <c r="H30" s="171"/>
      <c r="I30" s="182" t="s">
        <v>210</v>
      </c>
      <c r="J30" s="183">
        <v>1521.577</v>
      </c>
      <c r="K30" s="183">
        <v>2157.7350000000001</v>
      </c>
      <c r="L30" s="198">
        <v>3021.5</v>
      </c>
      <c r="M30" s="199">
        <v>2693.9</v>
      </c>
      <c r="N30" s="198">
        <v>2819.7</v>
      </c>
      <c r="O30" s="292"/>
      <c r="P30" s="292"/>
      <c r="Q30" s="292"/>
      <c r="R30" s="171"/>
    </row>
    <row r="31" spans="1:18" ht="15" customHeight="1">
      <c r="A31" s="182" t="s">
        <v>8</v>
      </c>
      <c r="B31" s="413">
        <v>96.234999999999999</v>
      </c>
      <c r="C31" s="413">
        <v>129.96100000000001</v>
      </c>
      <c r="D31" s="413">
        <v>176.827</v>
      </c>
      <c r="E31" s="413">
        <v>169.7</v>
      </c>
      <c r="F31" s="413">
        <v>210.7</v>
      </c>
      <c r="G31" s="291"/>
      <c r="H31" s="171"/>
      <c r="I31" s="182" t="s">
        <v>211</v>
      </c>
      <c r="J31" s="190">
        <v>168.41300000000001</v>
      </c>
      <c r="K31" s="190">
        <v>441.07100000000003</v>
      </c>
      <c r="L31" s="198">
        <v>573.6</v>
      </c>
      <c r="M31" s="199">
        <v>408.1</v>
      </c>
      <c r="N31" s="198">
        <v>422.7</v>
      </c>
      <c r="O31" s="292"/>
      <c r="P31" s="292"/>
      <c r="Q31" s="292"/>
      <c r="R31" s="171"/>
    </row>
    <row r="32" spans="1:18" ht="15" customHeight="1">
      <c r="A32" s="189" t="s">
        <v>190</v>
      </c>
      <c r="B32" s="412">
        <f t="shared" ref="B32:E32" si="14">B31/B6</f>
        <v>4.4368247742595105E-3</v>
      </c>
      <c r="C32" s="412">
        <f t="shared" si="14"/>
        <v>5.8709654307331476E-3</v>
      </c>
      <c r="D32" s="412">
        <f t="shared" si="14"/>
        <v>7.1035753648984934E-3</v>
      </c>
      <c r="E32" s="412">
        <f t="shared" si="14"/>
        <v>5.76281776998988E-3</v>
      </c>
      <c r="F32" s="412">
        <f t="shared" ref="F32" si="15">F31/F6</f>
        <v>7.1187242381241973E-3</v>
      </c>
      <c r="G32" s="366"/>
      <c r="H32" s="171"/>
      <c r="I32" s="182" t="s">
        <v>212</v>
      </c>
      <c r="J32" s="190">
        <v>34.569000000000003</v>
      </c>
      <c r="K32" s="190">
        <v>5.093</v>
      </c>
      <c r="L32" s="198">
        <v>7.4</v>
      </c>
      <c r="M32" s="199">
        <v>3.2</v>
      </c>
      <c r="N32" s="198">
        <v>2.6</v>
      </c>
      <c r="O32" s="292"/>
      <c r="P32" s="292"/>
      <c r="Q32" s="292"/>
      <c r="R32" s="171"/>
    </row>
    <row r="33" spans="1:18" ht="15" customHeight="1">
      <c r="A33" s="182" t="s">
        <v>9</v>
      </c>
      <c r="B33" s="208">
        <v>0</v>
      </c>
      <c r="C33" s="208">
        <f>-119.949</f>
        <v>-119.949</v>
      </c>
      <c r="D33" s="196"/>
      <c r="E33" s="196"/>
      <c r="F33" s="196"/>
      <c r="G33" s="240"/>
      <c r="H33" s="171"/>
      <c r="I33" s="182" t="s">
        <v>31</v>
      </c>
      <c r="J33" s="190">
        <v>1.8779999999999999</v>
      </c>
      <c r="K33" s="190">
        <v>56.125</v>
      </c>
      <c r="L33" s="198">
        <v>55.5</v>
      </c>
      <c r="M33" s="199">
        <v>55.7</v>
      </c>
      <c r="N33" s="198">
        <v>6.7</v>
      </c>
      <c r="O33" s="292"/>
      <c r="P33" s="292"/>
      <c r="Q33" s="292"/>
      <c r="R33" s="171"/>
    </row>
    <row r="34" spans="1:18" ht="15" customHeight="1">
      <c r="A34" s="176" t="s">
        <v>10</v>
      </c>
      <c r="B34" s="414">
        <f>B25-B29-B31+B5</f>
        <v>1894.2699999999957</v>
      </c>
      <c r="C34" s="414">
        <f>C25-C29-C31+C5+C33</f>
        <v>2563.6799999999971</v>
      </c>
      <c r="D34" s="414">
        <f>D25-D29-D31+D5</f>
        <v>3256.8190000000013</v>
      </c>
      <c r="E34" s="414">
        <f>E25-E29-E31+E5</f>
        <v>2963.4999999999941</v>
      </c>
      <c r="F34" s="414">
        <f>F25-F29-F31+F5</f>
        <v>2730.7000000000025</v>
      </c>
      <c r="G34" s="373"/>
      <c r="H34" s="171"/>
      <c r="I34" s="182" t="s">
        <v>213</v>
      </c>
      <c r="J34" s="185">
        <v>257.375</v>
      </c>
      <c r="K34" s="185">
        <v>55.417000000000002</v>
      </c>
      <c r="L34" s="198">
        <v>69.3</v>
      </c>
      <c r="M34" s="199">
        <v>263.39999999999998</v>
      </c>
      <c r="N34" s="198">
        <v>10</v>
      </c>
      <c r="O34" s="292"/>
      <c r="P34" s="292"/>
      <c r="Q34" s="292"/>
      <c r="R34" s="171"/>
    </row>
    <row r="35" spans="1:18" ht="15" customHeight="1">
      <c r="A35" s="182" t="s">
        <v>11</v>
      </c>
      <c r="B35" s="246">
        <v>556.86599999999999</v>
      </c>
      <c r="C35" s="246">
        <v>620.81799999999998</v>
      </c>
      <c r="D35" s="246">
        <v>836.93799999999999</v>
      </c>
      <c r="E35" s="246">
        <f>837.1-2.2-58.5</f>
        <v>776.4</v>
      </c>
      <c r="F35" s="246">
        <v>700.3</v>
      </c>
      <c r="G35" s="240"/>
      <c r="H35" s="171"/>
      <c r="I35" s="182" t="s">
        <v>153</v>
      </c>
      <c r="J35" s="185">
        <v>318.01600000000002</v>
      </c>
      <c r="K35" s="185">
        <v>388.64299999999997</v>
      </c>
      <c r="L35" s="198">
        <v>362.6</v>
      </c>
      <c r="M35" s="199">
        <v>402.2</v>
      </c>
      <c r="N35" s="198">
        <v>638.1</v>
      </c>
      <c r="O35" s="292"/>
      <c r="P35" s="292"/>
      <c r="Q35" s="292"/>
      <c r="R35" s="171"/>
    </row>
    <row r="36" spans="1:18" ht="15" customHeight="1">
      <c r="A36" s="189" t="s">
        <v>12</v>
      </c>
      <c r="B36" s="391">
        <f>(B35/B34)</f>
        <v>0.29397393191044635</v>
      </c>
      <c r="C36" s="391">
        <f>(C35/C34)</f>
        <v>0.24215892779130027</v>
      </c>
      <c r="D36" s="391">
        <f>(D35/D34)</f>
        <v>0.25698020061907023</v>
      </c>
      <c r="E36" s="391">
        <f>(E35/E34)</f>
        <v>0.26198751476294974</v>
      </c>
      <c r="F36" s="391">
        <f>(F35/F34)</f>
        <v>0.25645438898450923</v>
      </c>
      <c r="G36" s="361"/>
      <c r="H36" s="171"/>
      <c r="I36" s="187" t="s">
        <v>35</v>
      </c>
      <c r="J36" s="188">
        <f>SUM(J37:J43)</f>
        <v>3193.5350000000003</v>
      </c>
      <c r="K36" s="188">
        <f>SUM(K37:K43)</f>
        <v>3486.9429999999998</v>
      </c>
      <c r="L36" s="188">
        <f>SUM(L37:L43)</f>
        <v>4964.3</v>
      </c>
      <c r="M36" s="188">
        <f>SUM(M37:M43)</f>
        <v>4401</v>
      </c>
      <c r="N36" s="188">
        <f>SUM(N37:N43)</f>
        <v>4995.3999999999996</v>
      </c>
      <c r="O36" s="292"/>
      <c r="P36" s="292"/>
      <c r="Q36" s="292"/>
      <c r="R36" s="171"/>
    </row>
    <row r="37" spans="1:18" ht="15" customHeight="1">
      <c r="A37" s="187" t="s">
        <v>13</v>
      </c>
      <c r="B37" s="349">
        <f t="shared" ref="B37:E37" si="16">B34-B35</f>
        <v>1337.4039999999957</v>
      </c>
      <c r="C37" s="349">
        <f t="shared" si="16"/>
        <v>1942.8619999999971</v>
      </c>
      <c r="D37" s="349">
        <f t="shared" si="16"/>
        <v>2419.8810000000012</v>
      </c>
      <c r="E37" s="349">
        <f t="shared" si="16"/>
        <v>2187.099999999994</v>
      </c>
      <c r="F37" s="381">
        <f>F34-F35</f>
        <v>2030.4000000000026</v>
      </c>
      <c r="G37" s="374"/>
      <c r="H37" s="171"/>
      <c r="I37" s="182" t="s">
        <v>215</v>
      </c>
      <c r="J37" s="200">
        <v>0</v>
      </c>
      <c r="K37" s="200">
        <v>159.41900000000001</v>
      </c>
      <c r="L37" s="198">
        <v>200.5</v>
      </c>
      <c r="M37" s="199">
        <v>230.6</v>
      </c>
      <c r="N37" s="198">
        <v>159.80000000000001</v>
      </c>
      <c r="O37" s="292"/>
      <c r="P37" s="292"/>
      <c r="Q37" s="292"/>
      <c r="R37" s="171"/>
    </row>
    <row r="38" spans="1:18" ht="15" customHeight="1">
      <c r="A38" s="187" t="s">
        <v>64</v>
      </c>
      <c r="B38" s="321">
        <f t="shared" ref="B38:E38" si="17">B37/B4</f>
        <v>6.2453215098147816E-2</v>
      </c>
      <c r="C38" s="321">
        <f t="shared" si="17"/>
        <v>8.9383125217952844E-2</v>
      </c>
      <c r="D38" s="321">
        <f t="shared" si="17"/>
        <v>9.9289796856215598E-2</v>
      </c>
      <c r="E38" s="322">
        <f t="shared" si="17"/>
        <v>7.6323117833038828E-2</v>
      </c>
      <c r="F38" s="321">
        <f t="shared" ref="F38" si="18">F37/F4</f>
        <v>7.0664392858385924E-2</v>
      </c>
      <c r="G38" s="375"/>
      <c r="H38" s="171"/>
      <c r="I38" s="182" t="s">
        <v>216</v>
      </c>
      <c r="J38" s="203">
        <f>108.702+1323.315</f>
        <v>1432.0170000000001</v>
      </c>
      <c r="K38" s="203">
        <f>33.031+1501.424</f>
        <v>1534.4549999999999</v>
      </c>
      <c r="L38" s="182">
        <f>116.8+3184.4</f>
        <v>3301.2000000000003</v>
      </c>
      <c r="M38" s="184">
        <v>2854.2</v>
      </c>
      <c r="N38" s="198">
        <v>2594.1</v>
      </c>
      <c r="O38" s="292"/>
      <c r="P38" s="292"/>
      <c r="Q38" s="292"/>
      <c r="R38" s="171"/>
    </row>
    <row r="39" spans="1:18" ht="15" customHeight="1">
      <c r="A39" s="182" t="s">
        <v>14</v>
      </c>
      <c r="B39" s="209">
        <v>0</v>
      </c>
      <c r="C39" s="209"/>
      <c r="D39" s="209">
        <v>0</v>
      </c>
      <c r="E39" s="209"/>
      <c r="F39" s="209"/>
      <c r="G39" s="376"/>
      <c r="H39" s="171"/>
      <c r="I39" s="182" t="s">
        <v>254</v>
      </c>
      <c r="J39" s="190">
        <v>912.62599999999998</v>
      </c>
      <c r="K39" s="190">
        <v>1074.4559999999999</v>
      </c>
      <c r="L39" s="182">
        <v>531.20000000000005</v>
      </c>
      <c r="M39" s="184">
        <v>440.3</v>
      </c>
      <c r="N39" s="195">
        <v>917.1</v>
      </c>
      <c r="O39" s="288"/>
      <c r="P39" s="288"/>
      <c r="Q39" s="288"/>
      <c r="R39" s="171"/>
    </row>
    <row r="40" spans="1:18" ht="15" customHeight="1">
      <c r="A40" s="182" t="s">
        <v>56</v>
      </c>
      <c r="B40" s="415">
        <f>-9.09</f>
        <v>-9.09</v>
      </c>
      <c r="C40" s="415">
        <f>-30.676</f>
        <v>-30.675999999999998</v>
      </c>
      <c r="D40" s="415">
        <f>188.11</f>
        <v>188.11</v>
      </c>
      <c r="E40" s="415">
        <f>-18.5</f>
        <v>-18.5</v>
      </c>
      <c r="F40" s="415">
        <v>125.2</v>
      </c>
      <c r="G40" s="376"/>
      <c r="H40" s="171"/>
      <c r="I40" s="182"/>
      <c r="J40" s="190"/>
      <c r="K40" s="190"/>
      <c r="L40" s="182"/>
      <c r="M40" s="184"/>
      <c r="N40" s="198"/>
      <c r="O40" s="292"/>
      <c r="P40" s="292"/>
      <c r="Q40" s="292"/>
      <c r="R40" s="171"/>
    </row>
    <row r="41" spans="1:18" ht="15" customHeight="1">
      <c r="A41" s="176" t="s">
        <v>15</v>
      </c>
      <c r="B41" s="350">
        <f t="shared" ref="B41:F41" si="19">B37+B39+B40</f>
        <v>1328.3139999999958</v>
      </c>
      <c r="C41" s="350">
        <f t="shared" si="19"/>
        <v>1912.1859999999972</v>
      </c>
      <c r="D41" s="350">
        <f t="shared" si="19"/>
        <v>2607.9910000000013</v>
      </c>
      <c r="E41" s="350">
        <f t="shared" si="19"/>
        <v>2168.599999999994</v>
      </c>
      <c r="F41" s="402">
        <f t="shared" si="19"/>
        <v>2155.6000000000026</v>
      </c>
      <c r="G41" s="377"/>
      <c r="H41" s="171"/>
      <c r="I41" s="182" t="s">
        <v>218</v>
      </c>
      <c r="J41" s="190">
        <v>128.233</v>
      </c>
      <c r="K41" s="190">
        <v>128.82499999999999</v>
      </c>
      <c r="L41" s="182">
        <v>146.9</v>
      </c>
      <c r="M41" s="184">
        <v>105.6</v>
      </c>
      <c r="N41" s="198">
        <v>205.1</v>
      </c>
      <c r="O41" s="292"/>
      <c r="P41" s="292"/>
      <c r="Q41" s="292"/>
      <c r="R41" s="210"/>
    </row>
    <row r="42" spans="1:18" ht="15" customHeight="1">
      <c r="A42" s="189" t="s">
        <v>2</v>
      </c>
      <c r="B42" s="192"/>
      <c r="C42" s="391">
        <f>(C41/B41-1)</f>
        <v>0.43955871879691344</v>
      </c>
      <c r="D42" s="391">
        <f>(D41/C41-1)</f>
        <v>0.36387935064894594</v>
      </c>
      <c r="E42" s="391">
        <f>(E41/D41-1)</f>
        <v>-0.16847872557842691</v>
      </c>
      <c r="F42" s="391">
        <f>(F41/E41-1)</f>
        <v>-5.9946509268612447E-3</v>
      </c>
      <c r="G42" s="361"/>
      <c r="H42" s="171"/>
      <c r="I42" s="182" t="s">
        <v>219</v>
      </c>
      <c r="J42" s="190">
        <v>0</v>
      </c>
      <c r="K42" s="190">
        <v>0</v>
      </c>
      <c r="L42" s="182">
        <v>45.4</v>
      </c>
      <c r="M42" s="184">
        <v>0</v>
      </c>
      <c r="N42" s="198">
        <v>11.7</v>
      </c>
      <c r="O42" s="292"/>
      <c r="P42" s="292"/>
      <c r="Q42" s="292"/>
      <c r="R42" s="171"/>
    </row>
    <row r="43" spans="1:18" ht="15" customHeight="1">
      <c r="A43" s="189" t="s">
        <v>75</v>
      </c>
      <c r="B43" s="192"/>
      <c r="C43" s="192"/>
      <c r="D43" s="192"/>
      <c r="E43" s="257"/>
      <c r="F43" s="257"/>
      <c r="G43" s="371"/>
      <c r="H43" s="171"/>
      <c r="I43" s="182" t="s">
        <v>217</v>
      </c>
      <c r="J43" s="190">
        <v>720.65899999999999</v>
      </c>
      <c r="K43" s="200">
        <v>589.78800000000001</v>
      </c>
      <c r="L43" s="182">
        <v>739.1</v>
      </c>
      <c r="M43" s="184">
        <v>770.3</v>
      </c>
      <c r="N43" s="198">
        <v>1107.5999999999999</v>
      </c>
      <c r="O43" s="292"/>
      <c r="P43" s="292"/>
      <c r="Q43" s="292"/>
      <c r="R43" s="171"/>
    </row>
    <row r="44" spans="1:18" ht="15" customHeight="1">
      <c r="A44" s="187" t="s">
        <v>72</v>
      </c>
      <c r="B44" s="325">
        <v>13.71</v>
      </c>
      <c r="C44" s="325">
        <v>19.920000000000002</v>
      </c>
      <c r="D44" s="325">
        <v>24.62</v>
      </c>
      <c r="E44" s="325">
        <v>22.42</v>
      </c>
      <c r="F44" s="325">
        <v>20.81</v>
      </c>
      <c r="G44" s="378"/>
      <c r="H44" s="171"/>
      <c r="I44" s="187" t="s">
        <v>182</v>
      </c>
      <c r="J44" s="188">
        <f>(J27-J36)</f>
        <v>3663.4709999999991</v>
      </c>
      <c r="K44" s="188">
        <f>(K27-K36)</f>
        <v>4081.7339999999999</v>
      </c>
      <c r="L44" s="188">
        <f>(L27-L36)</f>
        <v>3348.8</v>
      </c>
      <c r="M44" s="188">
        <f>(M27-M36)</f>
        <v>3463.8999999999987</v>
      </c>
      <c r="N44" s="188">
        <f>(N27-N36)</f>
        <v>11175.400000000005</v>
      </c>
      <c r="O44" s="292"/>
      <c r="P44" s="292"/>
      <c r="Q44" s="292"/>
      <c r="R44" s="171"/>
    </row>
    <row r="45" spans="1:18" ht="15" customHeight="1">
      <c r="A45" s="182" t="s">
        <v>2</v>
      </c>
      <c r="B45" s="192"/>
      <c r="C45" s="391">
        <f>(C44/B44-1)</f>
        <v>0.45295404814004381</v>
      </c>
      <c r="D45" s="391">
        <f>(D44/C44-1)</f>
        <v>0.23594377510040165</v>
      </c>
      <c r="E45" s="391">
        <f>(E44/D44-1)</f>
        <v>-8.9358245329000829E-2</v>
      </c>
      <c r="F45" s="391">
        <f>(F44/E44-1)</f>
        <v>-7.1810883140053683E-2</v>
      </c>
      <c r="G45" s="361"/>
      <c r="H45" s="171"/>
      <c r="I45" s="182" t="s">
        <v>154</v>
      </c>
      <c r="J45" s="200">
        <v>0</v>
      </c>
      <c r="K45" s="200">
        <v>823.851</v>
      </c>
      <c r="L45" s="182">
        <v>1085.5</v>
      </c>
      <c r="M45" s="184">
        <v>1056.5</v>
      </c>
      <c r="N45" s="198">
        <v>874.9</v>
      </c>
      <c r="O45" s="292"/>
      <c r="P45" s="292"/>
      <c r="Q45" s="292"/>
      <c r="R45" s="171"/>
    </row>
    <row r="46" spans="1:18" ht="15" customHeight="1">
      <c r="A46" s="182" t="s">
        <v>74</v>
      </c>
      <c r="B46" s="192"/>
      <c r="C46" s="391"/>
      <c r="D46" s="391"/>
      <c r="E46" s="391">
        <f>+((E44/B44)^(1/3)-1)</f>
        <v>0.17814673625610422</v>
      </c>
      <c r="F46" s="192"/>
      <c r="G46" s="361"/>
      <c r="H46" s="171"/>
      <c r="I46" s="211" t="s">
        <v>255</v>
      </c>
      <c r="J46" s="212">
        <v>696.53899999999999</v>
      </c>
      <c r="K46" s="212">
        <v>737.26099999999997</v>
      </c>
      <c r="L46" s="182">
        <v>501.8</v>
      </c>
      <c r="M46" s="184">
        <v>503.4</v>
      </c>
      <c r="N46" s="198">
        <v>259.39999999999998</v>
      </c>
      <c r="O46" s="292"/>
      <c r="P46" s="292"/>
      <c r="Q46" s="292"/>
      <c r="R46" s="171"/>
    </row>
    <row r="47" spans="1:18" ht="15" customHeight="1">
      <c r="A47" s="171"/>
      <c r="B47" s="204"/>
      <c r="C47" s="204"/>
      <c r="D47" s="204"/>
      <c r="E47" s="204"/>
      <c r="F47" s="204"/>
      <c r="G47" s="204"/>
      <c r="H47" s="171"/>
      <c r="I47" s="182" t="s">
        <v>214</v>
      </c>
      <c r="J47" s="213">
        <v>79.676000000000002</v>
      </c>
      <c r="K47" s="213">
        <v>85.938000000000002</v>
      </c>
      <c r="L47" s="182">
        <v>62.3</v>
      </c>
      <c r="M47" s="184">
        <v>193.3</v>
      </c>
      <c r="N47" s="198">
        <v>130.4</v>
      </c>
      <c r="O47" s="292"/>
      <c r="P47" s="292"/>
      <c r="Q47" s="292"/>
      <c r="R47" s="171"/>
    </row>
    <row r="48" spans="1:18" ht="15" customHeight="1">
      <c r="A48" s="171"/>
      <c r="B48" s="346"/>
      <c r="C48" s="346"/>
      <c r="D48" s="346"/>
      <c r="E48" s="346"/>
      <c r="F48" s="346"/>
      <c r="G48" s="346"/>
      <c r="H48" s="171"/>
      <c r="I48" s="182" t="s">
        <v>256</v>
      </c>
      <c r="J48" s="213"/>
      <c r="K48" s="213"/>
      <c r="L48" s="182">
        <v>2.6</v>
      </c>
      <c r="M48" s="184">
        <v>2.2999999999999998</v>
      </c>
      <c r="N48" s="182">
        <v>2</v>
      </c>
      <c r="O48" s="171"/>
      <c r="P48" s="171"/>
      <c r="Q48" s="171"/>
      <c r="R48" s="171"/>
    </row>
    <row r="49" spans="1:18" ht="15" customHeight="1">
      <c r="A49" s="170"/>
      <c r="B49" s="204"/>
      <c r="C49" s="204"/>
      <c r="D49" s="204"/>
      <c r="E49" s="204"/>
      <c r="F49" s="204"/>
      <c r="G49" s="204"/>
      <c r="H49" s="171"/>
      <c r="I49" s="182" t="s">
        <v>185</v>
      </c>
      <c r="J49" s="208">
        <v>65.043000000000006</v>
      </c>
      <c r="K49" s="208">
        <v>109.193</v>
      </c>
      <c r="L49" s="214">
        <v>88.8</v>
      </c>
      <c r="M49" s="215">
        <v>96.7</v>
      </c>
      <c r="N49" s="195">
        <v>83.2</v>
      </c>
      <c r="O49" s="288"/>
      <c r="P49" s="288"/>
      <c r="Q49" s="288"/>
      <c r="R49" s="171"/>
    </row>
    <row r="50" spans="1:18" ht="15" customHeight="1">
      <c r="A50" s="170"/>
      <c r="B50" s="204"/>
      <c r="C50" s="204"/>
      <c r="D50" s="204"/>
      <c r="E50" s="204"/>
      <c r="F50" s="204"/>
      <c r="G50" s="204"/>
      <c r="H50" s="171"/>
      <c r="I50" s="187" t="s">
        <v>68</v>
      </c>
      <c r="J50" s="194">
        <f>SUM(J16:J26)+J27</f>
        <v>11617.996999999999</v>
      </c>
      <c r="K50" s="194">
        <f>SUM(K16:K26)+K27</f>
        <v>16438.842000000001</v>
      </c>
      <c r="L50" s="194">
        <f>SUM(L16:L26)+L27</f>
        <v>20693.567999999999</v>
      </c>
      <c r="M50" s="194">
        <f>SUM(M16:M26)+M27</f>
        <v>23632.699999999997</v>
      </c>
      <c r="N50" s="194">
        <f>SUM(N16:N26)+N27</f>
        <v>28946.1</v>
      </c>
      <c r="O50" s="171"/>
      <c r="P50" s="171"/>
      <c r="Q50" s="171"/>
      <c r="R50" s="171"/>
    </row>
    <row r="51" spans="1:18" ht="15" customHeight="1">
      <c r="A51" s="176" t="s">
        <v>0</v>
      </c>
      <c r="B51" s="216" t="s">
        <v>73</v>
      </c>
      <c r="C51" s="216" t="s">
        <v>156</v>
      </c>
      <c r="D51" s="217" t="s">
        <v>181</v>
      </c>
      <c r="E51" s="216" t="s">
        <v>233</v>
      </c>
      <c r="F51" s="216" t="s">
        <v>234</v>
      </c>
      <c r="G51" s="218"/>
      <c r="H51" s="170"/>
      <c r="I51" s="187" t="s">
        <v>69</v>
      </c>
      <c r="J51" s="194">
        <f>J47+J36+J11+J7+J45+J46+J49</f>
        <v>11617.997000000001</v>
      </c>
      <c r="K51" s="194">
        <f>K47+K36+K11+K7+K45+K46+K49</f>
        <v>16438.842000000001</v>
      </c>
      <c r="L51" s="194">
        <f>L47+L36+L11+L7+L45+L46+L49+L48</f>
        <v>20693.599999999999</v>
      </c>
      <c r="M51" s="194">
        <f>M47+M36+M11+M7+M45+M46+M49+M48</f>
        <v>23632.600000000002</v>
      </c>
      <c r="N51" s="194">
        <f>N47+N36+N11+N7+N45+N46+N49+N48</f>
        <v>27108.000000000004</v>
      </c>
      <c r="O51" s="292"/>
      <c r="P51" s="292"/>
      <c r="Q51" s="292"/>
      <c r="R51" s="171"/>
    </row>
    <row r="52" spans="1:18" ht="12.75">
      <c r="A52" s="176" t="s">
        <v>17</v>
      </c>
      <c r="B52" s="219">
        <v>1516.588</v>
      </c>
      <c r="C52" s="219">
        <v>168.41300000000001</v>
      </c>
      <c r="D52" s="220">
        <v>441.07100000000003</v>
      </c>
      <c r="E52" s="219">
        <v>573.6</v>
      </c>
      <c r="F52" s="219">
        <v>408.1</v>
      </c>
      <c r="G52" s="221"/>
      <c r="H52" s="170"/>
      <c r="I52" s="170" t="s">
        <v>37</v>
      </c>
      <c r="J52" s="222"/>
      <c r="K52" s="222"/>
      <c r="L52" s="171"/>
      <c r="M52" s="172"/>
      <c r="N52" s="171"/>
      <c r="O52" s="171"/>
      <c r="P52" s="171"/>
      <c r="Q52" s="171"/>
      <c r="R52" s="171"/>
    </row>
    <row r="53" spans="1:18" ht="12.75">
      <c r="A53" s="256" t="s">
        <v>18</v>
      </c>
      <c r="B53" s="223">
        <v>1378.704</v>
      </c>
      <c r="C53" s="223">
        <v>1635.36</v>
      </c>
      <c r="D53" s="224">
        <v>2603.0439999999999</v>
      </c>
      <c r="E53" s="223">
        <v>1971.6</v>
      </c>
      <c r="F53" s="223">
        <v>2120.1</v>
      </c>
      <c r="G53" s="225"/>
      <c r="H53" s="170"/>
      <c r="I53" s="176" t="s">
        <v>38</v>
      </c>
      <c r="J53" s="216" t="s">
        <v>73</v>
      </c>
      <c r="K53" s="216" t="s">
        <v>156</v>
      </c>
      <c r="L53" s="216" t="s">
        <v>181</v>
      </c>
      <c r="M53" s="226" t="s">
        <v>233</v>
      </c>
      <c r="N53" s="395" t="s">
        <v>234</v>
      </c>
      <c r="O53" s="396"/>
      <c r="P53" s="171"/>
      <c r="Q53" s="171"/>
      <c r="R53" s="171"/>
    </row>
    <row r="54" spans="1:18" ht="12.75">
      <c r="A54" s="182" t="s">
        <v>63</v>
      </c>
      <c r="B54" s="227">
        <f>-2456.843</f>
        <v>-2456.8429999999998</v>
      </c>
      <c r="C54" s="227">
        <f>-2945.546</f>
        <v>-2945.5459999999998</v>
      </c>
      <c r="D54" s="228">
        <f>-2147.014</f>
        <v>-2147.0140000000001</v>
      </c>
      <c r="E54" s="227">
        <v>-3063.8</v>
      </c>
      <c r="F54" s="227">
        <v>-2684.1</v>
      </c>
      <c r="G54" s="229"/>
      <c r="H54" s="170"/>
      <c r="I54" s="230" t="s">
        <v>39</v>
      </c>
      <c r="J54" s="231">
        <v>652</v>
      </c>
      <c r="K54" s="231">
        <v>270</v>
      </c>
      <c r="L54" s="231">
        <v>1100</v>
      </c>
      <c r="M54" s="232">
        <v>3495</v>
      </c>
      <c r="N54" s="176">
        <v>995.55</v>
      </c>
      <c r="O54" s="171"/>
      <c r="P54" s="171"/>
      <c r="Q54" s="171"/>
      <c r="R54" s="171"/>
    </row>
    <row r="55" spans="1:18" ht="12.75">
      <c r="A55" s="182" t="s">
        <v>19</v>
      </c>
      <c r="B55" s="227">
        <f>-270.037</f>
        <v>-270.03699999999998</v>
      </c>
      <c r="C55" s="227">
        <f>1582.844</f>
        <v>1582.8440000000001</v>
      </c>
      <c r="D55" s="228">
        <f>-323.47</f>
        <v>-323.47000000000003</v>
      </c>
      <c r="E55" s="227">
        <f>926.7</f>
        <v>926.7</v>
      </c>
      <c r="F55" s="227">
        <v>561.20000000000005</v>
      </c>
      <c r="G55" s="229"/>
      <c r="H55" s="170"/>
      <c r="I55" s="234" t="s">
        <v>263</v>
      </c>
      <c r="J55" s="235">
        <f>B44</f>
        <v>13.71</v>
      </c>
      <c r="K55" s="235">
        <f>C44</f>
        <v>19.920000000000002</v>
      </c>
      <c r="L55" s="235">
        <f>D44</f>
        <v>24.62</v>
      </c>
      <c r="M55" s="235">
        <f>E44</f>
        <v>22.42</v>
      </c>
      <c r="N55" s="235">
        <f>F44</f>
        <v>20.81</v>
      </c>
      <c r="O55" s="171"/>
      <c r="P55" s="171"/>
      <c r="Q55" s="171"/>
      <c r="R55" s="171"/>
    </row>
    <row r="56" spans="1:18" ht="12.75">
      <c r="A56" s="176" t="s">
        <v>20</v>
      </c>
      <c r="B56" s="219">
        <f>SUM(B53:B55)</f>
        <v>-1348.1759999999999</v>
      </c>
      <c r="C56" s="219">
        <f>SUM(C53:C55)</f>
        <v>272.65800000000013</v>
      </c>
      <c r="D56" s="219">
        <f>SUM(D53:D55)</f>
        <v>132.55999999999972</v>
      </c>
      <c r="E56" s="219">
        <f>SUM(E53:E55)</f>
        <v>-165.50000000000023</v>
      </c>
      <c r="F56" s="219">
        <f>SUM(F53:F55)</f>
        <v>-2.7999999999999545</v>
      </c>
      <c r="G56" s="221"/>
      <c r="H56" s="171"/>
      <c r="I56" s="236" t="s">
        <v>41</v>
      </c>
      <c r="J56" s="237">
        <f>(J7*1000000)/B64</f>
        <v>321.14593689378512</v>
      </c>
      <c r="K56" s="237">
        <f>(K7*1000000)/C64</f>
        <v>189.9063292953534</v>
      </c>
      <c r="L56" s="237">
        <f>(L7*1000000)/D64</f>
        <v>244.59641601606862</v>
      </c>
      <c r="M56" s="237">
        <f>(M7*1000000)/E64</f>
        <v>287.02529792872934</v>
      </c>
      <c r="N56" s="245">
        <f>(N7*1000000)/F64</f>
        <v>164.8787827055794</v>
      </c>
      <c r="O56" s="171"/>
      <c r="P56" s="171"/>
      <c r="Q56" s="171"/>
      <c r="R56" s="171"/>
    </row>
    <row r="57" spans="1:18" ht="12.75">
      <c r="A57" s="176" t="s">
        <v>57</v>
      </c>
      <c r="B57" s="188">
        <f>+B52+B56</f>
        <v>168.41200000000003</v>
      </c>
      <c r="C57" s="188">
        <f>+C52+C56</f>
        <v>441.07100000000014</v>
      </c>
      <c r="D57" s="238">
        <f>+D52+D56</f>
        <v>573.63099999999974</v>
      </c>
      <c r="E57" s="188">
        <f>+E52+E56</f>
        <v>408.0999999999998</v>
      </c>
      <c r="F57" s="188">
        <f>+F52+F56+17.4</f>
        <v>422.70000000000005</v>
      </c>
      <c r="G57" s="288"/>
      <c r="H57" s="233"/>
      <c r="I57" s="236" t="s">
        <v>42</v>
      </c>
      <c r="J57" s="239">
        <v>0</v>
      </c>
      <c r="K57" s="239">
        <v>0</v>
      </c>
      <c r="L57" s="239">
        <v>0</v>
      </c>
      <c r="M57" s="239">
        <v>0</v>
      </c>
      <c r="N57" s="188" t="s">
        <v>260</v>
      </c>
      <c r="O57" s="288"/>
      <c r="P57" s="288"/>
      <c r="Q57" s="288"/>
      <c r="R57" s="171"/>
    </row>
    <row r="58" spans="1:18" ht="12.75">
      <c r="A58" s="171"/>
      <c r="B58" s="204"/>
      <c r="C58" s="204"/>
      <c r="D58" s="204"/>
      <c r="E58" s="205"/>
      <c r="F58" s="205"/>
      <c r="G58" s="204"/>
      <c r="H58" s="171"/>
      <c r="I58" s="236" t="s">
        <v>43</v>
      </c>
      <c r="J58" s="237">
        <f>(J54/J55)</f>
        <v>47.556528081692193</v>
      </c>
      <c r="K58" s="237">
        <f>(K54/K55)</f>
        <v>13.554216867469878</v>
      </c>
      <c r="L58" s="237">
        <f>(L54/L55)</f>
        <v>44.679122664500404</v>
      </c>
      <c r="M58" s="237">
        <f>(M54/M55)</f>
        <v>155.88760035682427</v>
      </c>
      <c r="N58" s="237">
        <f>(N54/N55)</f>
        <v>47.83998077847189</v>
      </c>
      <c r="O58" s="171"/>
      <c r="P58" s="171"/>
      <c r="Q58" s="171"/>
      <c r="R58" s="171"/>
    </row>
    <row r="59" spans="1:18" s="31" customFormat="1" ht="12.75">
      <c r="A59" s="176" t="s">
        <v>21</v>
      </c>
      <c r="B59" s="188">
        <f>B53</f>
        <v>1378.704</v>
      </c>
      <c r="C59" s="188">
        <f>C53</f>
        <v>1635.36</v>
      </c>
      <c r="D59" s="238">
        <f>D53</f>
        <v>2603.0439999999999</v>
      </c>
      <c r="E59" s="188">
        <f>E53</f>
        <v>1971.6</v>
      </c>
      <c r="F59" s="188">
        <f>F53</f>
        <v>2120.1</v>
      </c>
      <c r="G59" s="288"/>
      <c r="H59" s="171"/>
      <c r="I59" s="236" t="s">
        <v>44</v>
      </c>
      <c r="J59" s="237">
        <f>(J54/J56)</f>
        <v>2.030229640475385</v>
      </c>
      <c r="K59" s="237">
        <f>(K54/K56)</f>
        <v>1.4217535613575061</v>
      </c>
      <c r="L59" s="237">
        <f>(L54/L56)</f>
        <v>4.4972040797512589</v>
      </c>
      <c r="M59" s="237">
        <f>(M54/M56)</f>
        <v>12.17662702633214</v>
      </c>
      <c r="N59" s="237">
        <f>(N54/N56)</f>
        <v>6.0380722350293716</v>
      </c>
      <c r="O59" s="171"/>
      <c r="P59" s="171"/>
      <c r="Q59" s="171"/>
      <c r="R59" s="233"/>
    </row>
    <row r="60" spans="1:18" ht="12.75">
      <c r="A60" s="182" t="s">
        <v>22</v>
      </c>
      <c r="B60" s="196">
        <f>-527.76+7.102</f>
        <v>-520.65800000000002</v>
      </c>
      <c r="C60" s="196">
        <f>-1834.419+30.616</f>
        <v>-1803.8030000000001</v>
      </c>
      <c r="D60" s="240">
        <f>-647.46+14.582</f>
        <v>-632.87800000000004</v>
      </c>
      <c r="E60" s="227">
        <f>-1634.6+205.5</f>
        <v>-1429.1</v>
      </c>
      <c r="F60" s="196">
        <f>-2116.2+17.4</f>
        <v>-2098.7999999999997</v>
      </c>
      <c r="G60" s="240"/>
      <c r="H60" s="171"/>
      <c r="I60" s="236" t="s">
        <v>45</v>
      </c>
      <c r="J60" s="237">
        <f>B68/B25</f>
        <v>5.7900154543860696</v>
      </c>
      <c r="K60" s="237">
        <f>C68/C25</f>
        <v>4.147821233959692</v>
      </c>
      <c r="L60" s="237">
        <f>D68/D25</f>
        <v>14.847054888545864</v>
      </c>
      <c r="M60" s="237">
        <f>E68/E25</f>
        <v>54.794028691179371</v>
      </c>
      <c r="N60" s="237">
        <f>F68/F25</f>
        <v>31.710539261521877</v>
      </c>
      <c r="O60" s="171"/>
      <c r="P60" s="171"/>
      <c r="Q60" s="171"/>
      <c r="R60" s="171" t="s">
        <v>24</v>
      </c>
    </row>
    <row r="61" spans="1:18" ht="12.75">
      <c r="A61" s="187" t="s">
        <v>23</v>
      </c>
      <c r="B61" s="194">
        <f>SUM(B59:B60)</f>
        <v>858.04599999999994</v>
      </c>
      <c r="C61" s="194">
        <f>SUM(C59:C60)</f>
        <v>-168.44300000000021</v>
      </c>
      <c r="D61" s="241">
        <f>SUM(D59:D60)</f>
        <v>1970.1659999999997</v>
      </c>
      <c r="E61" s="194">
        <f>SUM(E59:E60)</f>
        <v>542.5</v>
      </c>
      <c r="F61" s="194">
        <f>SUM(F59:F60)</f>
        <v>21.300000000000182</v>
      </c>
      <c r="G61" s="289"/>
      <c r="H61" s="171"/>
      <c r="I61" s="242" t="s">
        <v>46</v>
      </c>
      <c r="J61" s="243">
        <f>(B37/J7)</f>
        <v>0.18318018142645567</v>
      </c>
      <c r="K61" s="243">
        <f>(C37/K7)</f>
        <v>0.20971800585568184</v>
      </c>
      <c r="L61" s="243">
        <f>(D37/L7)</f>
        <v>0.20280428424166752</v>
      </c>
      <c r="M61" s="243">
        <f>(E37/M7)</f>
        <v>0.15620022996878952</v>
      </c>
      <c r="N61" s="243">
        <f>(F37/N7)</f>
        <v>0.12621763590588397</v>
      </c>
      <c r="O61" s="244"/>
      <c r="P61" s="244"/>
      <c r="Q61" s="244"/>
      <c r="R61" s="171"/>
    </row>
    <row r="62" spans="1:18" ht="12.75">
      <c r="A62" s="171" t="s">
        <v>24</v>
      </c>
      <c r="B62" s="204"/>
      <c r="C62" s="204"/>
      <c r="D62" s="204"/>
      <c r="E62" s="204"/>
      <c r="F62" s="204"/>
      <c r="G62" s="204"/>
      <c r="H62" s="171"/>
      <c r="I62" s="242" t="s">
        <v>47</v>
      </c>
      <c r="J62" s="243">
        <f>(B25-B29)/J12</f>
        <v>0.20919429351008212</v>
      </c>
      <c r="K62" s="243">
        <f>(C25-C29)/K12</f>
        <v>0.19168998489642619</v>
      </c>
      <c r="L62" s="243">
        <f>(D25-D29)/L12</f>
        <v>0.19419910129738535</v>
      </c>
      <c r="M62" s="243">
        <f>(E25-E29)/M12</f>
        <v>0.12911407760298599</v>
      </c>
      <c r="N62" s="243">
        <f>(F25-F29)/N12</f>
        <v>0.10241436286961465</v>
      </c>
      <c r="O62" s="289"/>
      <c r="P62" s="289"/>
      <c r="Q62" s="289"/>
      <c r="R62" s="171"/>
    </row>
    <row r="63" spans="1:18" ht="12.75">
      <c r="A63" s="176" t="s">
        <v>0</v>
      </c>
      <c r="B63" s="216" t="s">
        <v>73</v>
      </c>
      <c r="C63" s="216" t="s">
        <v>156</v>
      </c>
      <c r="D63" s="217" t="s">
        <v>181</v>
      </c>
      <c r="E63" s="216" t="s">
        <v>233</v>
      </c>
      <c r="F63" s="395" t="s">
        <v>234</v>
      </c>
      <c r="G63" s="204"/>
      <c r="H63" s="171"/>
      <c r="I63" s="236" t="s">
        <v>48</v>
      </c>
      <c r="J63" s="245">
        <f>(J11/J7)</f>
        <v>3.8648519455474088E-2</v>
      </c>
      <c r="K63" s="245">
        <f>(K11/K7)</f>
        <v>0.20849069597645292</v>
      </c>
      <c r="L63" s="245">
        <f>(L11/L7)</f>
        <v>0.1723250727030447</v>
      </c>
      <c r="M63" s="245">
        <f>(M11/M7)</f>
        <v>0.24121726337139959</v>
      </c>
      <c r="N63" s="245">
        <f>(N11/N7)</f>
        <v>0.29069095204053086</v>
      </c>
      <c r="O63" s="289"/>
      <c r="P63" s="289"/>
      <c r="Q63" s="289"/>
      <c r="R63" s="244"/>
    </row>
    <row r="64" spans="1:18" ht="12.75">
      <c r="A64" s="182" t="s">
        <v>58</v>
      </c>
      <c r="B64" s="166">
        <v>22734306</v>
      </c>
      <c r="C64" s="246">
        <v>48782808</v>
      </c>
      <c r="D64" s="246">
        <v>48782808</v>
      </c>
      <c r="E64" s="246">
        <v>48782808</v>
      </c>
      <c r="F64" s="397">
        <v>97565616</v>
      </c>
      <c r="G64" s="247"/>
      <c r="H64" s="171"/>
      <c r="I64" s="236" t="s">
        <v>49</v>
      </c>
      <c r="J64" s="245">
        <f>(J11-SUM(J31+J32+J29))/J7</f>
        <v>-0.35674678778199792</v>
      </c>
      <c r="K64" s="245">
        <f>(K11-SUM(K31+K32+K29))/K7</f>
        <v>-7.6712912249826321E-2</v>
      </c>
      <c r="L64" s="245">
        <f>(L11-SUM(L31+L32+L29))/L7</f>
        <v>3.3950436218268362E-2</v>
      </c>
      <c r="M64" s="245">
        <f>(M11-SUM(M31+M32+M29))/M7</f>
        <v>0.14800848456280935</v>
      </c>
      <c r="N64" s="245">
        <f>(N11-SUM(N31+N32+N29))/N7</f>
        <v>-0.17832965530102884</v>
      </c>
      <c r="O64" s="171"/>
      <c r="P64" s="171"/>
      <c r="Q64" s="171"/>
      <c r="R64" s="171"/>
    </row>
    <row r="65" spans="1:18" ht="12.75">
      <c r="A65" s="182" t="s">
        <v>59</v>
      </c>
      <c r="B65" s="248">
        <f>B64*J54/1000000</f>
        <v>14822.767512</v>
      </c>
      <c r="C65" s="248">
        <f>C64*K54/1000000</f>
        <v>13171.35816</v>
      </c>
      <c r="D65" s="248">
        <f>D64*L54/1000000</f>
        <v>53661.088799999998</v>
      </c>
      <c r="E65" s="248">
        <f>E64*M54/1000000</f>
        <v>170495.91396000001</v>
      </c>
      <c r="F65" s="248">
        <f>F64*N54/1000000</f>
        <v>97131.449008800002</v>
      </c>
      <c r="G65" s="240"/>
      <c r="H65" s="171"/>
      <c r="I65" s="236" t="s">
        <v>50</v>
      </c>
      <c r="J65" s="249">
        <f>(J57/J54)</f>
        <v>0</v>
      </c>
      <c r="K65" s="249">
        <f>(K57/K54)</f>
        <v>0</v>
      </c>
      <c r="L65" s="249">
        <f>(L57/L54)</f>
        <v>0</v>
      </c>
      <c r="M65" s="249">
        <f>(M57/M54)</f>
        <v>0</v>
      </c>
      <c r="N65" s="382">
        <v>0</v>
      </c>
      <c r="O65" s="218"/>
      <c r="P65" s="218"/>
      <c r="Q65" s="218"/>
      <c r="R65" s="171"/>
    </row>
    <row r="66" spans="1:18" ht="12.75">
      <c r="A66" s="182" t="s">
        <v>62</v>
      </c>
      <c r="B66" s="248">
        <f>J11</f>
        <v>282.17399999999998</v>
      </c>
      <c r="C66" s="248">
        <f>K11</f>
        <v>1931.4920000000002</v>
      </c>
      <c r="D66" s="248">
        <f>L11</f>
        <v>2056.1999999999998</v>
      </c>
      <c r="E66" s="248">
        <f>M11</f>
        <v>3377.5</v>
      </c>
      <c r="F66" s="248">
        <f>N11</f>
        <v>4676.2</v>
      </c>
      <c r="G66" s="240"/>
      <c r="H66" s="171"/>
      <c r="I66" s="236" t="s">
        <v>51</v>
      </c>
      <c r="J66" s="250">
        <f>(AVERAGE(J32:J32)/B6*365)</f>
        <v>0.58172657974544206</v>
      </c>
      <c r="K66" s="250">
        <f>(AVERAGE(J30:K30)/C4*365)</f>
        <v>30.891789510101514</v>
      </c>
      <c r="L66" s="250">
        <f>(AVERAGE(K30:L30)/D4*365)</f>
        <v>38.782794427188691</v>
      </c>
      <c r="M66" s="250">
        <f>(AVERAGE(L30:M30)/E4*365)</f>
        <v>36.399629394398339</v>
      </c>
      <c r="N66" s="250">
        <f>(AVERAGE(M30:N30)/F4*365)</f>
        <v>35.020081439459858</v>
      </c>
      <c r="O66" s="293"/>
      <c r="P66" s="293"/>
      <c r="Q66" s="293"/>
      <c r="R66" s="171"/>
    </row>
    <row r="67" spans="1:18" ht="12.75">
      <c r="A67" s="182" t="s">
        <v>60</v>
      </c>
      <c r="B67" s="248">
        <f>J31+J32+J29</f>
        <v>2886.7930000000001</v>
      </c>
      <c r="C67" s="248">
        <f>K31+K32+K29</f>
        <v>2642.1730000000002</v>
      </c>
      <c r="D67" s="248">
        <f>L31+L32+L29</f>
        <v>1651.1</v>
      </c>
      <c r="E67" s="248">
        <f>M31+M32+M29</f>
        <v>1305.0999999999999</v>
      </c>
      <c r="F67" s="248">
        <f>N31+N32+N29</f>
        <v>7544.9000000000005</v>
      </c>
      <c r="G67" s="240"/>
      <c r="H67" s="171"/>
      <c r="I67" s="236" t="s">
        <v>52</v>
      </c>
      <c r="J67" s="251">
        <v>23</v>
      </c>
      <c r="K67" s="251">
        <f>(AVERAGE(K38:L38)/C4*365)</f>
        <v>40.600535209699522</v>
      </c>
      <c r="L67" s="251">
        <f t="shared" ref="L67:N67" si="20">(AVERAGE(L38:M38)/D4*365)</f>
        <v>46.092446629109745</v>
      </c>
      <c r="M67" s="251">
        <f t="shared" si="20"/>
        <v>34.698551427634193</v>
      </c>
      <c r="N67" s="251">
        <f>(AVERAGE(M38:N38)/F4*365)</f>
        <v>34.605323147600316</v>
      </c>
      <c r="O67" s="293"/>
      <c r="P67" s="293"/>
      <c r="Q67" s="293"/>
      <c r="R67" s="171"/>
    </row>
    <row r="68" spans="1:18" ht="12.75">
      <c r="A68" s="182" t="s">
        <v>61</v>
      </c>
      <c r="B68" s="188">
        <f>B65+B66-B67</f>
        <v>12218.148512000002</v>
      </c>
      <c r="C68" s="188">
        <f>C65+C66-C67</f>
        <v>12460.677159999999</v>
      </c>
      <c r="D68" s="188">
        <f>D65+D66-D67</f>
        <v>54066.188799999996</v>
      </c>
      <c r="E68" s="188">
        <f>E65+E66-E67</f>
        <v>172568.31396</v>
      </c>
      <c r="F68" s="188">
        <f>F65+F66-F67</f>
        <v>94262.749008800005</v>
      </c>
      <c r="G68" s="288"/>
      <c r="H68" s="171"/>
      <c r="I68" s="236" t="s">
        <v>65</v>
      </c>
      <c r="J68" s="251">
        <f>(J66-J67)</f>
        <v>-22.418273420254557</v>
      </c>
      <c r="K68" s="251">
        <f>K66-K67+K72</f>
        <v>59.728201121116243</v>
      </c>
      <c r="L68" s="251">
        <f t="shared" ref="L68:N68" si="21">L66-L67+L72</f>
        <v>66.771993957413031</v>
      </c>
      <c r="M68" s="251">
        <f t="shared" si="21"/>
        <v>90.97506666302391</v>
      </c>
      <c r="N68" s="251">
        <f t="shared" si="21"/>
        <v>115.70667445952412</v>
      </c>
      <c r="O68" s="294"/>
      <c r="P68" s="294"/>
      <c r="Q68" s="294"/>
      <c r="R68" s="171"/>
    </row>
    <row r="69" spans="1:18" ht="12.75">
      <c r="A69" s="171"/>
      <c r="B69" s="204"/>
      <c r="C69" s="204"/>
      <c r="D69" s="204"/>
      <c r="E69" s="204"/>
      <c r="F69" s="204"/>
      <c r="G69" s="204"/>
      <c r="H69" s="171"/>
      <c r="I69" s="236" t="s">
        <v>54</v>
      </c>
      <c r="J69" s="251">
        <f>AVERAGE(J44:J44)/B4*365</f>
        <v>62.442143858267194</v>
      </c>
      <c r="K69" s="251">
        <f>AVERAGE(J44:K44)/C4*365</f>
        <v>65.029343141485626</v>
      </c>
      <c r="L69" s="251">
        <f>AVERAGE(K44:L44)/D4*365</f>
        <v>55.640818114303769</v>
      </c>
      <c r="M69" s="251">
        <f t="shared" ref="M69" si="22">AVERAGE(L44:M44)/E4*365</f>
        <v>43.387996496346283</v>
      </c>
      <c r="N69" s="251">
        <f>AVERAGE(M44:N44)/F4*365</f>
        <v>92.982711516374906</v>
      </c>
      <c r="O69" s="295"/>
      <c r="P69" s="295"/>
      <c r="Q69" s="295"/>
      <c r="R69" s="171"/>
    </row>
    <row r="70" spans="1:18" ht="12.75">
      <c r="A70" s="171"/>
      <c r="B70" s="204"/>
      <c r="C70" s="204"/>
      <c r="D70" s="204"/>
      <c r="E70" s="204"/>
      <c r="F70" s="204"/>
      <c r="G70" s="204"/>
      <c r="H70" s="171"/>
      <c r="I70" s="252" t="s">
        <v>66</v>
      </c>
      <c r="J70" s="253">
        <f>B31/J11</f>
        <v>0.34104843110988259</v>
      </c>
      <c r="K70" s="253">
        <f>C31/K11</f>
        <v>6.7285290335139886E-2</v>
      </c>
      <c r="L70" s="253">
        <f>D31/L11</f>
        <v>8.5996984729111964E-2</v>
      </c>
      <c r="M70" s="253">
        <f>E31/M11</f>
        <v>5.0244263508512209E-2</v>
      </c>
      <c r="N70" s="253">
        <f>F31/N11</f>
        <v>4.5057953038792183E-2</v>
      </c>
      <c r="O70" s="294"/>
      <c r="P70" s="294"/>
      <c r="Q70" s="294"/>
      <c r="R70" s="171"/>
    </row>
    <row r="71" spans="1:18" ht="12.75">
      <c r="A71" s="171"/>
      <c r="B71" s="222"/>
      <c r="C71" s="222"/>
      <c r="D71" s="222"/>
      <c r="E71" s="204"/>
      <c r="F71" s="204"/>
      <c r="G71" s="204"/>
      <c r="H71" s="171"/>
      <c r="I71" s="254" t="s">
        <v>105</v>
      </c>
      <c r="J71" s="236">
        <f>B4/J16</f>
        <v>6.3055800770173471</v>
      </c>
      <c r="K71" s="236">
        <f>C4/K16</f>
        <v>5.1698906624235033</v>
      </c>
      <c r="L71" s="236">
        <f>D4/L16</f>
        <v>5.6681473556909623</v>
      </c>
      <c r="M71" s="236">
        <f>E4/M16</f>
        <v>6.5804303396330406</v>
      </c>
      <c r="N71" s="236">
        <f>F4/(N16+N17)</f>
        <v>4.0100205155401731</v>
      </c>
      <c r="O71" s="294"/>
      <c r="P71" s="294"/>
      <c r="Q71" s="294"/>
      <c r="R71" s="171"/>
    </row>
    <row r="72" spans="1:18" ht="12.75">
      <c r="A72" s="171"/>
      <c r="B72" s="204"/>
      <c r="C72" s="204"/>
      <c r="D72" s="204"/>
      <c r="E72" s="204"/>
      <c r="F72" s="204"/>
      <c r="G72" s="204"/>
      <c r="H72" s="171"/>
      <c r="I72" s="254" t="s">
        <v>252</v>
      </c>
      <c r="J72" s="251"/>
      <c r="K72" s="250">
        <f>(AVERAGE(J28:K28)/C10*365)</f>
        <v>69.436946820714255</v>
      </c>
      <c r="L72" s="251">
        <f>AVERAGE(L43:L43)/(D25)*365</f>
        <v>74.081646159334085</v>
      </c>
      <c r="M72" s="251">
        <f t="shared" ref="M72:N72" si="23">AVERAGE(M43:M43)/(E25)*365</f>
        <v>89.273988696259764</v>
      </c>
      <c r="N72" s="251">
        <f>AVERAGE(M43:N43)/(F25)*365</f>
        <v>115.29191616766458</v>
      </c>
      <c r="O72" s="294"/>
      <c r="P72" s="294"/>
      <c r="Q72" s="294"/>
      <c r="R72" s="171"/>
    </row>
    <row r="73" spans="1:18" ht="12.75">
      <c r="A73" s="171"/>
      <c r="B73" s="222"/>
      <c r="C73" s="222"/>
      <c r="D73" s="222"/>
      <c r="E73" s="204"/>
      <c r="F73" s="204"/>
      <c r="G73" s="204"/>
      <c r="H73" s="171"/>
      <c r="I73" s="184"/>
      <c r="J73" s="383"/>
      <c r="K73" s="383"/>
      <c r="L73" s="383"/>
      <c r="M73" s="184"/>
      <c r="N73" s="384"/>
      <c r="O73" s="296"/>
      <c r="P73" s="296"/>
      <c r="Q73" s="296"/>
      <c r="R73" s="171"/>
    </row>
    <row r="74" spans="1:18" ht="12.75">
      <c r="A74" s="244"/>
      <c r="B74" s="204"/>
      <c r="C74" s="204"/>
      <c r="D74" s="204"/>
      <c r="E74" s="204"/>
      <c r="F74" s="204"/>
      <c r="G74" s="204"/>
      <c r="H74" s="171"/>
      <c r="I74" s="171"/>
      <c r="J74" s="171"/>
      <c r="K74" s="171"/>
      <c r="L74" s="171"/>
      <c r="M74" s="172"/>
      <c r="N74" s="296"/>
      <c r="O74" s="296"/>
      <c r="P74" s="296"/>
      <c r="Q74" s="296"/>
      <c r="R74" s="171"/>
    </row>
    <row r="75" spans="1:18" ht="12.75">
      <c r="A75" s="171"/>
      <c r="B75" s="204"/>
      <c r="C75" s="204"/>
      <c r="D75" s="204"/>
      <c r="E75" s="204"/>
      <c r="F75" s="204"/>
      <c r="G75" s="204"/>
      <c r="H75" s="171"/>
      <c r="I75" s="171"/>
      <c r="J75" s="171"/>
      <c r="K75" s="171"/>
      <c r="L75" s="171"/>
      <c r="M75" s="172"/>
      <c r="N75" s="297"/>
      <c r="O75" s="297"/>
      <c r="P75" s="297"/>
      <c r="Q75" s="297"/>
      <c r="R75" s="171"/>
    </row>
    <row r="76" spans="1:18" ht="12.75">
      <c r="A76" s="202"/>
      <c r="B76" s="204"/>
      <c r="C76" s="204"/>
      <c r="D76" s="204"/>
      <c r="E76" s="204"/>
      <c r="F76" s="204"/>
      <c r="G76" s="204"/>
      <c r="H76" s="171"/>
      <c r="I76" s="171"/>
      <c r="J76" s="171"/>
      <c r="K76" s="171"/>
      <c r="L76" s="171"/>
      <c r="M76" s="172"/>
      <c r="N76" s="297"/>
      <c r="O76" s="297"/>
      <c r="P76" s="297"/>
      <c r="Q76" s="297"/>
      <c r="R76" s="171"/>
    </row>
    <row r="77" spans="1:18" ht="12.75">
      <c r="A77" s="171"/>
      <c r="B77" s="204"/>
      <c r="C77" s="204"/>
      <c r="D77" s="204"/>
      <c r="E77" s="204"/>
      <c r="F77" s="204"/>
      <c r="G77" s="204"/>
      <c r="H77" s="171"/>
      <c r="I77" s="171"/>
      <c r="J77" s="171"/>
      <c r="K77" s="171"/>
      <c r="L77" s="171"/>
      <c r="M77" s="172"/>
      <c r="N77" s="298"/>
      <c r="O77" s="298"/>
      <c r="P77" s="298"/>
      <c r="Q77" s="298"/>
      <c r="R77" s="171"/>
    </row>
    <row r="78" spans="1:18" ht="12.75">
      <c r="A78" s="171"/>
      <c r="B78" s="204"/>
      <c r="C78" s="204"/>
      <c r="D78" s="204"/>
      <c r="E78" s="204"/>
      <c r="F78" s="204"/>
      <c r="G78" s="204"/>
      <c r="H78" s="171"/>
      <c r="I78" s="171"/>
      <c r="J78" s="171"/>
      <c r="K78" s="171"/>
      <c r="L78" s="171"/>
      <c r="M78" s="172"/>
      <c r="N78" s="299"/>
      <c r="O78" s="299"/>
      <c r="P78" s="299"/>
      <c r="Q78" s="299"/>
      <c r="R78" s="171"/>
    </row>
    <row r="79" spans="1:18" ht="12.75">
      <c r="A79" s="171"/>
      <c r="B79" s="204"/>
      <c r="C79" s="204"/>
      <c r="D79" s="204"/>
      <c r="E79" s="204"/>
      <c r="F79" s="204"/>
      <c r="G79" s="204"/>
      <c r="H79" s="171"/>
      <c r="I79" s="171"/>
      <c r="J79" s="171"/>
      <c r="K79" s="171"/>
      <c r="L79" s="171"/>
      <c r="M79" s="172"/>
      <c r="N79" s="300"/>
      <c r="O79" s="300"/>
      <c r="P79" s="300"/>
      <c r="Q79" s="300"/>
      <c r="R79" s="171"/>
    </row>
    <row r="80" spans="1:18" ht="12.75">
      <c r="A80" s="171"/>
      <c r="B80" s="204"/>
      <c r="C80" s="204"/>
      <c r="D80" s="204"/>
      <c r="E80" s="204"/>
      <c r="F80" s="204"/>
      <c r="G80" s="204"/>
      <c r="H80" s="171"/>
      <c r="I80" s="171"/>
      <c r="J80" s="171"/>
      <c r="K80" s="171"/>
      <c r="L80" s="171"/>
      <c r="M80" s="172"/>
      <c r="N80" s="300"/>
      <c r="O80" s="300"/>
      <c r="P80" s="300"/>
      <c r="Q80" s="300"/>
      <c r="R80" s="171"/>
    </row>
    <row r="81" spans="1:18" ht="12.75">
      <c r="A81" s="171"/>
      <c r="B81" s="204"/>
      <c r="C81" s="204"/>
      <c r="D81" s="204"/>
      <c r="E81" s="204"/>
      <c r="F81" s="204"/>
      <c r="G81" s="204"/>
      <c r="H81" s="171"/>
      <c r="I81" s="171"/>
      <c r="J81" s="171"/>
      <c r="K81" s="171"/>
      <c r="L81" s="171"/>
      <c r="M81" s="172"/>
      <c r="N81" s="300"/>
      <c r="O81" s="300"/>
      <c r="P81" s="300"/>
      <c r="Q81" s="300"/>
      <c r="R81" s="171"/>
    </row>
    <row r="82" spans="1:18" ht="12.75">
      <c r="A82" s="171"/>
      <c r="B82" s="204"/>
      <c r="C82" s="204"/>
      <c r="D82" s="204"/>
      <c r="E82" s="204"/>
      <c r="F82" s="204"/>
      <c r="G82" s="204"/>
      <c r="H82" s="171"/>
      <c r="I82" s="171"/>
      <c r="J82" s="171"/>
      <c r="K82" s="171"/>
      <c r="L82" s="171"/>
      <c r="M82" s="172"/>
      <c r="N82" s="301"/>
      <c r="O82" s="301"/>
      <c r="P82" s="301"/>
      <c r="Q82" s="301"/>
      <c r="R82" s="171"/>
    </row>
    <row r="83" spans="1:18" ht="12.75">
      <c r="A83" s="171"/>
      <c r="B83" s="204"/>
      <c r="C83" s="204"/>
      <c r="D83" s="204"/>
      <c r="E83" s="204"/>
      <c r="F83" s="204"/>
      <c r="G83" s="204"/>
      <c r="H83" s="171"/>
      <c r="I83" s="171"/>
      <c r="J83" s="171"/>
      <c r="K83" s="171"/>
      <c r="L83" s="171"/>
      <c r="M83" s="172"/>
      <c r="N83" s="292"/>
      <c r="O83" s="292"/>
      <c r="P83" s="292"/>
      <c r="Q83" s="292"/>
      <c r="R83" s="171"/>
    </row>
    <row r="84" spans="1:18" ht="12.75">
      <c r="A84" s="171"/>
      <c r="B84" s="204"/>
      <c r="C84" s="204"/>
      <c r="D84" s="204"/>
      <c r="E84" s="204"/>
      <c r="F84" s="204"/>
      <c r="G84" s="204"/>
      <c r="H84" s="171"/>
      <c r="I84" s="171"/>
      <c r="J84" s="171"/>
      <c r="K84" s="171"/>
      <c r="L84" s="171"/>
      <c r="M84" s="172"/>
      <c r="N84" s="171"/>
      <c r="O84" s="171"/>
      <c r="P84" s="171"/>
      <c r="Q84" s="171"/>
      <c r="R84" s="171"/>
    </row>
    <row r="85" spans="1:18" ht="12.75">
      <c r="A85" s="171"/>
      <c r="B85" s="204"/>
      <c r="C85" s="204"/>
      <c r="D85" s="204"/>
      <c r="E85" s="204"/>
      <c r="F85" s="204"/>
      <c r="G85" s="204"/>
      <c r="H85" s="171"/>
      <c r="I85" s="171"/>
      <c r="J85" s="171"/>
      <c r="K85" s="171"/>
      <c r="L85" s="171"/>
      <c r="M85" s="172"/>
      <c r="N85" s="171"/>
      <c r="O85" s="171"/>
      <c r="P85" s="171"/>
      <c r="Q85" s="171"/>
      <c r="R85" s="171"/>
    </row>
    <row r="86" spans="1:18" ht="12.75">
      <c r="H86" s="171"/>
      <c r="N86" s="171"/>
      <c r="O86" s="171"/>
      <c r="P86" s="171"/>
      <c r="Q86" s="171"/>
      <c r="R86" s="171"/>
    </row>
    <row r="87" spans="1:18" ht="12.75">
      <c r="H87" s="171"/>
      <c r="N87" s="171"/>
      <c r="O87" s="171"/>
      <c r="P87" s="171"/>
      <c r="Q87" s="171"/>
      <c r="R87" s="171"/>
    </row>
  </sheetData>
  <mergeCells count="3">
    <mergeCell ref="A1:L1"/>
    <mergeCell ref="A2:E2"/>
    <mergeCell ref="I2:M2"/>
  </mergeCells>
  <pageMargins left="0" right="0" top="0" bottom="0" header="0" footer="0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showGridLines="0" topLeftCell="G1" workbookViewId="0">
      <selection activeCell="U9" sqref="U9"/>
    </sheetView>
  </sheetViews>
  <sheetFormatPr defaultRowHeight="15"/>
  <cols>
    <col min="1" max="1" width="25.85546875" customWidth="1"/>
    <col min="2" max="3" width="2.140625" customWidth="1"/>
    <col min="7" max="7" width="12" customWidth="1"/>
    <col min="8" max="8" width="15.5703125" customWidth="1"/>
    <col min="12" max="12" width="9.85546875" bestFit="1" customWidth="1"/>
    <col min="13" max="16" width="12.85546875" customWidth="1"/>
    <col min="17" max="17" width="12.85546875" style="328" customWidth="1"/>
    <col min="18" max="18" width="9.28515625" customWidth="1"/>
    <col min="20" max="21" width="9.85546875" bestFit="1" customWidth="1"/>
  </cols>
  <sheetData>
    <row r="1" spans="1:25">
      <c r="B1" s="258"/>
      <c r="C1" s="258"/>
    </row>
    <row r="2" spans="1:25">
      <c r="B2" s="258"/>
      <c r="C2" s="258"/>
    </row>
    <row r="3" spans="1:25">
      <c r="B3" s="258"/>
      <c r="C3" s="258"/>
    </row>
    <row r="4" spans="1:25">
      <c r="A4" s="89" t="s">
        <v>237</v>
      </c>
      <c r="B4" s="258"/>
      <c r="C4" s="258"/>
      <c r="D4" s="406" t="s">
        <v>181</v>
      </c>
      <c r="E4" s="406"/>
      <c r="F4" s="406"/>
      <c r="G4" s="406"/>
      <c r="H4" s="287"/>
      <c r="I4" s="406" t="s">
        <v>233</v>
      </c>
      <c r="J4" s="406"/>
      <c r="K4" s="406"/>
      <c r="L4" s="406"/>
      <c r="M4" s="287"/>
      <c r="N4" s="287"/>
      <c r="O4" s="287"/>
      <c r="P4" s="287"/>
      <c r="Q4" s="329"/>
      <c r="R4" s="406" t="s">
        <v>234</v>
      </c>
      <c r="S4" s="406"/>
      <c r="T4" s="406"/>
      <c r="U4" s="406"/>
      <c r="V4" s="406" t="s">
        <v>235</v>
      </c>
      <c r="W4" s="406"/>
      <c r="X4" s="406"/>
      <c r="Y4" s="406"/>
    </row>
    <row r="5" spans="1:25">
      <c r="A5" s="264" t="s">
        <v>236</v>
      </c>
      <c r="B5" s="258"/>
      <c r="C5" s="258"/>
      <c r="D5" s="262" t="s">
        <v>191</v>
      </c>
      <c r="E5" s="262" t="s">
        <v>192</v>
      </c>
      <c r="F5" s="262" t="s">
        <v>186</v>
      </c>
      <c r="G5" s="262" t="s">
        <v>187</v>
      </c>
      <c r="H5" s="308" t="s">
        <v>181</v>
      </c>
      <c r="I5" s="262" t="s">
        <v>183</v>
      </c>
      <c r="J5" s="262" t="s">
        <v>188</v>
      </c>
      <c r="K5" s="262" t="s">
        <v>223</v>
      </c>
      <c r="L5" s="262" t="s">
        <v>224</v>
      </c>
      <c r="M5" s="308" t="s">
        <v>233</v>
      </c>
      <c r="N5" s="340"/>
      <c r="O5" s="308" t="s">
        <v>257</v>
      </c>
      <c r="P5" s="308" t="s">
        <v>258</v>
      </c>
      <c r="Q5" s="330"/>
      <c r="R5" s="262" t="s">
        <v>225</v>
      </c>
      <c r="S5" s="262" t="s">
        <v>226</v>
      </c>
      <c r="T5" s="262" t="s">
        <v>227</v>
      </c>
      <c r="U5" s="262" t="s">
        <v>228</v>
      </c>
      <c r="V5" s="262" t="s">
        <v>229</v>
      </c>
      <c r="W5" s="262" t="s">
        <v>230</v>
      </c>
      <c r="X5" s="262" t="s">
        <v>231</v>
      </c>
      <c r="Y5" s="262" t="s">
        <v>232</v>
      </c>
    </row>
    <row r="6" spans="1:25">
      <c r="A6" t="s">
        <v>261</v>
      </c>
      <c r="B6" s="258"/>
      <c r="C6" s="258"/>
      <c r="D6" s="267">
        <f t="shared" ref="D6:K6" si="0">(D9*D7)/10</f>
        <v>668.77499999999998</v>
      </c>
      <c r="E6" s="267">
        <f t="shared" si="0"/>
        <v>1839.616</v>
      </c>
      <c r="F6" s="267">
        <f t="shared" si="0"/>
        <v>2845.924</v>
      </c>
      <c r="G6" s="267">
        <f t="shared" si="0"/>
        <v>2095.6619999999998</v>
      </c>
      <c r="H6" s="314">
        <f>SUM(D6:G6)</f>
        <v>7449.9770000000008</v>
      </c>
      <c r="I6" s="267">
        <f t="shared" si="0"/>
        <v>1396.85</v>
      </c>
      <c r="J6" s="267">
        <f>(J9*J7)/10</f>
        <v>2468.8440000000001</v>
      </c>
      <c r="K6" s="267">
        <f t="shared" si="0"/>
        <v>2663.4199999999996</v>
      </c>
      <c r="L6" s="267">
        <f>L9*L7/10</f>
        <v>2187.2550000000001</v>
      </c>
      <c r="M6" s="314">
        <f>SUM(I6:L6)</f>
        <v>8716.3689999999988</v>
      </c>
      <c r="N6" s="341"/>
      <c r="O6" s="314">
        <f>M6</f>
        <v>8716.3689999999988</v>
      </c>
      <c r="P6" s="314">
        <f>H6</f>
        <v>7449.9770000000008</v>
      </c>
      <c r="Q6" s="331"/>
      <c r="R6" s="34">
        <v>2195</v>
      </c>
      <c r="S6" s="385">
        <v>2075</v>
      </c>
      <c r="T6" s="385">
        <v>2328</v>
      </c>
      <c r="U6" s="385">
        <v>2061</v>
      </c>
      <c r="V6" s="34"/>
      <c r="W6" s="34"/>
      <c r="X6" s="34"/>
      <c r="Y6" s="34"/>
    </row>
    <row r="7" spans="1:25">
      <c r="A7" s="278" t="s">
        <v>246</v>
      </c>
      <c r="B7" s="258"/>
      <c r="C7" s="258"/>
      <c r="D7" s="276">
        <v>1.85</v>
      </c>
      <c r="E7" s="277">
        <v>5.12</v>
      </c>
      <c r="F7" s="277">
        <v>7.78</v>
      </c>
      <c r="G7" s="277">
        <v>5.93</v>
      </c>
      <c r="H7" s="310">
        <f>SUM(D7:G7)</f>
        <v>20.68</v>
      </c>
      <c r="I7" s="277">
        <v>3.5</v>
      </c>
      <c r="J7" s="277">
        <v>5.82</v>
      </c>
      <c r="K7" s="277">
        <v>6.52</v>
      </c>
      <c r="L7" s="304">
        <v>5.55</v>
      </c>
      <c r="M7" s="310">
        <f>SUM(I7:L7)</f>
        <v>21.39</v>
      </c>
      <c r="N7" s="342"/>
      <c r="O7" s="345"/>
      <c r="P7" s="344">
        <f>O6/P6-1</f>
        <v>0.1699860281447847</v>
      </c>
      <c r="Q7" s="332"/>
      <c r="S7" s="302">
        <f>S6/R6-1</f>
        <v>-5.4669703872437303E-2</v>
      </c>
      <c r="T7" s="302">
        <f>T6/S6-1</f>
        <v>0.12192771084337339</v>
      </c>
      <c r="U7" s="302">
        <f>U6/T6-1</f>
        <v>-0.11469072164948457</v>
      </c>
      <c r="V7" s="259"/>
      <c r="W7" s="259"/>
      <c r="X7" s="259"/>
      <c r="Y7" s="259"/>
    </row>
    <row r="8" spans="1:25">
      <c r="A8" s="269" t="s">
        <v>239</v>
      </c>
      <c r="B8" s="279"/>
      <c r="C8" s="279"/>
      <c r="D8" s="280"/>
      <c r="E8" s="305">
        <f t="shared" ref="E8:L8" si="1">E7/D7-1</f>
        <v>1.7675675675675673</v>
      </c>
      <c r="F8" s="305">
        <f t="shared" si="1"/>
        <v>0.51953125</v>
      </c>
      <c r="G8" s="305">
        <f t="shared" si="1"/>
        <v>-0.23778920308483298</v>
      </c>
      <c r="H8" s="311"/>
      <c r="I8" s="305">
        <f>I7/G7-1</f>
        <v>-0.40978077571669469</v>
      </c>
      <c r="J8" s="305">
        <f t="shared" si="1"/>
        <v>0.66285714285714303</v>
      </c>
      <c r="K8" s="305">
        <f t="shared" si="1"/>
        <v>0.12027491408934687</v>
      </c>
      <c r="L8" s="305">
        <f t="shared" si="1"/>
        <v>-0.14877300613496924</v>
      </c>
      <c r="M8" s="316"/>
      <c r="N8" s="333"/>
      <c r="O8" s="310">
        <f>M7</f>
        <v>21.39</v>
      </c>
      <c r="P8" s="310">
        <f>H7</f>
        <v>20.68</v>
      </c>
      <c r="Q8" s="333"/>
      <c r="R8" s="259">
        <v>5.01</v>
      </c>
      <c r="S8" s="259">
        <v>4.75</v>
      </c>
      <c r="T8" s="259">
        <v>5.29</v>
      </c>
      <c r="U8" s="259">
        <v>4.49</v>
      </c>
      <c r="V8" s="259"/>
      <c r="W8" s="259"/>
      <c r="X8" s="259"/>
      <c r="Y8" s="259"/>
    </row>
    <row r="9" spans="1:25">
      <c r="A9" s="281" t="s">
        <v>246</v>
      </c>
      <c r="B9" s="260"/>
      <c r="C9" s="260"/>
      <c r="D9" s="267">
        <v>3615</v>
      </c>
      <c r="E9" s="267">
        <v>3593</v>
      </c>
      <c r="F9" s="267">
        <v>3658</v>
      </c>
      <c r="G9" s="267">
        <v>3534</v>
      </c>
      <c r="H9" s="309"/>
      <c r="I9" s="267">
        <v>3991</v>
      </c>
      <c r="J9" s="267">
        <v>4242</v>
      </c>
      <c r="K9" s="267">
        <v>4085</v>
      </c>
      <c r="L9" s="112">
        <v>3941</v>
      </c>
      <c r="M9" s="103"/>
      <c r="N9" s="112"/>
      <c r="O9" s="316"/>
      <c r="P9" s="344">
        <f>O8/P8-1</f>
        <v>3.4332688588007754E-2</v>
      </c>
      <c r="Q9" s="334"/>
      <c r="R9" s="34"/>
      <c r="S9" s="387">
        <f>S8/R8-1</f>
        <v>-5.1896207584830267E-2</v>
      </c>
      <c r="T9" s="387">
        <f>T8/S8-1</f>
        <v>0.11368421052631583</v>
      </c>
      <c r="U9" s="387">
        <f>U8/T8-1</f>
        <v>-0.15122873345935728</v>
      </c>
      <c r="V9" s="34"/>
      <c r="W9" s="34"/>
      <c r="X9" s="34"/>
      <c r="Y9" s="34"/>
    </row>
    <row r="10" spans="1:25">
      <c r="A10" s="261" t="s">
        <v>241</v>
      </c>
      <c r="B10" s="282"/>
      <c r="C10" s="282"/>
      <c r="D10" s="283"/>
      <c r="E10" s="305">
        <f t="shared" ref="E10:L10" si="2">E9/D9-1</f>
        <v>-6.0857538035961056E-3</v>
      </c>
      <c r="F10" s="305">
        <f t="shared" si="2"/>
        <v>1.8090731978847696E-2</v>
      </c>
      <c r="G10" s="305">
        <f t="shared" si="2"/>
        <v>-3.3898305084745783E-2</v>
      </c>
      <c r="H10" s="312"/>
      <c r="I10" s="306">
        <f>I9/G9-1</f>
        <v>0.12931522354272773</v>
      </c>
      <c r="J10" s="306">
        <f t="shared" si="2"/>
        <v>6.2891505888248656E-2</v>
      </c>
      <c r="K10" s="306">
        <f t="shared" si="2"/>
        <v>-3.7010843941536975E-2</v>
      </c>
      <c r="L10" s="306">
        <f t="shared" si="2"/>
        <v>-3.5250917992656006E-2</v>
      </c>
      <c r="M10" s="317"/>
      <c r="N10" s="335"/>
      <c r="O10" s="103">
        <v>4074</v>
      </c>
      <c r="P10" s="103">
        <v>3604</v>
      </c>
      <c r="Q10" s="335"/>
      <c r="R10" s="356">
        <f>R6/R8*10</f>
        <v>4381.2375249501001</v>
      </c>
      <c r="S10" s="34">
        <v>4368</v>
      </c>
      <c r="T10" s="267">
        <v>4400</v>
      </c>
      <c r="U10" s="34"/>
      <c r="V10" s="34"/>
      <c r="W10" s="34"/>
      <c r="X10" s="34"/>
      <c r="Y10" s="34"/>
    </row>
    <row r="11" spans="1:25">
      <c r="A11" s="264" t="s">
        <v>238</v>
      </c>
      <c r="B11" s="258"/>
      <c r="C11" s="258"/>
      <c r="D11" s="268"/>
      <c r="E11" s="268"/>
      <c r="F11" s="268"/>
      <c r="G11" s="268"/>
      <c r="H11" s="268"/>
      <c r="I11" s="268"/>
      <c r="J11" s="268"/>
      <c r="K11" s="268"/>
      <c r="O11" s="317"/>
      <c r="P11" s="344">
        <f>O10/P10-1</f>
        <v>0.13041065482796887</v>
      </c>
    </row>
    <row r="12" spans="1:25">
      <c r="A12" t="s">
        <v>261</v>
      </c>
      <c r="B12" s="260"/>
      <c r="C12" s="260"/>
      <c r="D12" s="267">
        <f t="shared" ref="D12:K12" si="3">(D13*D15)/1000</f>
        <v>168.381</v>
      </c>
      <c r="E12" s="267">
        <f t="shared" si="3"/>
        <v>673.87699999999995</v>
      </c>
      <c r="F12" s="267">
        <f t="shared" si="3"/>
        <v>801.87800000000004</v>
      </c>
      <c r="G12" s="267">
        <f t="shared" si="3"/>
        <v>719.16</v>
      </c>
      <c r="H12" s="314">
        <f>SUM(D12:G12)</f>
        <v>2363.2959999999998</v>
      </c>
      <c r="I12" s="267">
        <f t="shared" si="3"/>
        <v>385.63600000000002</v>
      </c>
      <c r="J12" s="267">
        <f t="shared" si="3"/>
        <v>778.923</v>
      </c>
      <c r="K12" s="267">
        <f t="shared" si="3"/>
        <v>865.53599999999994</v>
      </c>
      <c r="L12" s="267">
        <f>L13*L15/1000</f>
        <v>751.16</v>
      </c>
      <c r="M12" s="314">
        <f>SUM(I12:L12)</f>
        <v>2781.2549999999997</v>
      </c>
      <c r="N12" s="341"/>
      <c r="O12" s="314">
        <f>M12</f>
        <v>2781.2549999999997</v>
      </c>
      <c r="P12" s="314">
        <f>H12</f>
        <v>2363.2959999999998</v>
      </c>
      <c r="Q12" s="331"/>
      <c r="R12" s="34">
        <v>627</v>
      </c>
      <c r="S12" s="34">
        <v>640</v>
      </c>
      <c r="T12" s="34">
        <v>703</v>
      </c>
      <c r="U12" s="112"/>
      <c r="V12" s="34"/>
      <c r="W12" s="34"/>
      <c r="X12" s="34"/>
      <c r="Y12" s="34"/>
    </row>
    <row r="13" spans="1:25">
      <c r="A13" s="281" t="s">
        <v>246</v>
      </c>
      <c r="B13" s="258"/>
      <c r="C13" s="258"/>
      <c r="D13" s="271">
        <v>477</v>
      </c>
      <c r="E13" s="272">
        <v>1909</v>
      </c>
      <c r="F13" s="272">
        <v>1778</v>
      </c>
      <c r="G13" s="272">
        <v>1560</v>
      </c>
      <c r="H13" s="310">
        <f>SUM(D13:G13)</f>
        <v>5724</v>
      </c>
      <c r="I13" s="272">
        <v>842</v>
      </c>
      <c r="J13" s="272">
        <v>1697</v>
      </c>
      <c r="K13" s="272">
        <v>1932</v>
      </c>
      <c r="L13" s="315">
        <v>1688</v>
      </c>
      <c r="M13" s="319">
        <f>SUM(I13:L13)</f>
        <v>6159</v>
      </c>
      <c r="N13" s="343"/>
      <c r="O13" s="345"/>
      <c r="P13" s="344">
        <f>O12/P12-1</f>
        <v>0.17685427470786563</v>
      </c>
      <c r="Q13" s="336"/>
      <c r="S13" s="389">
        <f>S12/R12-1</f>
        <v>2.0733652312599604E-2</v>
      </c>
      <c r="T13" s="389">
        <f>T12/S12-1</f>
        <v>9.8437499999999956E-2</v>
      </c>
      <c r="U13" s="270"/>
      <c r="V13" s="270"/>
      <c r="W13" s="270"/>
      <c r="X13" s="270"/>
      <c r="Y13" s="270"/>
    </row>
    <row r="14" spans="1:25">
      <c r="A14" s="273" t="s">
        <v>240</v>
      </c>
      <c r="B14" s="282"/>
      <c r="C14" s="282"/>
      <c r="D14" s="283"/>
      <c r="E14" s="305">
        <f>E13/D13-1</f>
        <v>3.0020964360587001</v>
      </c>
      <c r="F14" s="305">
        <f t="shared" ref="F14:L14" si="4">F13/E13-1</f>
        <v>-6.8622315348349949E-2</v>
      </c>
      <c r="G14" s="305">
        <f t="shared" si="4"/>
        <v>-0.12260967379077614</v>
      </c>
      <c r="H14" s="312"/>
      <c r="I14" s="306">
        <f>I13/G13-1</f>
        <v>-0.46025641025641029</v>
      </c>
      <c r="J14" s="306">
        <f t="shared" si="4"/>
        <v>1.0154394299287413</v>
      </c>
      <c r="K14" s="306">
        <f t="shared" si="4"/>
        <v>0.13847967000589279</v>
      </c>
      <c r="L14" s="306">
        <f t="shared" si="4"/>
        <v>-0.1262939958592133</v>
      </c>
      <c r="M14" s="38"/>
      <c r="N14" s="34"/>
      <c r="O14" s="310">
        <f>M13</f>
        <v>6159</v>
      </c>
      <c r="P14" s="310">
        <f>H13</f>
        <v>5724</v>
      </c>
      <c r="Q14" s="337"/>
      <c r="R14" s="34">
        <v>1302</v>
      </c>
      <c r="S14" s="386">
        <v>1350</v>
      </c>
      <c r="T14" s="267">
        <v>1576</v>
      </c>
      <c r="U14" s="34"/>
      <c r="V14" s="34"/>
      <c r="W14" s="34"/>
      <c r="X14" s="34"/>
      <c r="Y14" s="34"/>
    </row>
    <row r="15" spans="1:25">
      <c r="A15" s="281" t="s">
        <v>246</v>
      </c>
      <c r="B15" s="258"/>
      <c r="C15" s="258"/>
      <c r="D15" s="266">
        <v>353</v>
      </c>
      <c r="E15" s="267">
        <v>353</v>
      </c>
      <c r="F15" s="267">
        <v>451</v>
      </c>
      <c r="G15" s="267">
        <v>461</v>
      </c>
      <c r="H15" s="309"/>
      <c r="I15" s="267">
        <v>458</v>
      </c>
      <c r="J15" s="267">
        <v>459</v>
      </c>
      <c r="K15" s="267">
        <v>448</v>
      </c>
      <c r="L15" s="303">
        <v>445</v>
      </c>
      <c r="M15" s="38"/>
      <c r="N15" s="34"/>
      <c r="O15" s="38"/>
      <c r="P15" s="344">
        <f>O14/P14-1</f>
        <v>7.5995807127882564E-2</v>
      </c>
      <c r="Q15" s="337"/>
      <c r="S15" s="390">
        <f>S14/R14-1</f>
        <v>3.6866359447004671E-2</v>
      </c>
      <c r="T15" s="390">
        <f>T14/S14-1</f>
        <v>0.16740740740740745</v>
      </c>
      <c r="U15" s="34"/>
      <c r="V15" s="34"/>
      <c r="W15" s="34"/>
      <c r="X15" s="34"/>
      <c r="Y15" s="34"/>
    </row>
    <row r="16" spans="1:25">
      <c r="A16" s="261" t="s">
        <v>242</v>
      </c>
      <c r="B16" s="282"/>
      <c r="C16" s="282"/>
      <c r="D16" s="283"/>
      <c r="E16" s="305">
        <f t="shared" ref="E16:L16" si="5">E15/D15-1</f>
        <v>0</v>
      </c>
      <c r="F16" s="305">
        <f t="shared" si="5"/>
        <v>0.27762039660056659</v>
      </c>
      <c r="G16" s="305">
        <f t="shared" si="5"/>
        <v>2.2172949002217335E-2</v>
      </c>
      <c r="H16" s="312"/>
      <c r="I16" s="306">
        <f>I15/G15-1</f>
        <v>-6.5075921908893664E-3</v>
      </c>
      <c r="J16" s="306">
        <f t="shared" si="5"/>
        <v>2.1834061135370675E-3</v>
      </c>
      <c r="K16" s="306">
        <f t="shared" si="5"/>
        <v>-2.3965141612200425E-2</v>
      </c>
      <c r="L16" s="306">
        <f t="shared" si="5"/>
        <v>-6.6964285714286031E-3</v>
      </c>
      <c r="M16" s="38"/>
      <c r="N16" s="34"/>
      <c r="O16" s="38">
        <v>452</v>
      </c>
      <c r="P16" s="38">
        <v>413</v>
      </c>
      <c r="Q16" s="337"/>
      <c r="R16" s="34">
        <v>480</v>
      </c>
      <c r="S16" s="34">
        <v>474</v>
      </c>
      <c r="T16" s="267">
        <v>446</v>
      </c>
      <c r="U16" s="34"/>
      <c r="V16" s="34"/>
      <c r="W16" s="34"/>
      <c r="X16" s="34"/>
      <c r="Y16" s="34"/>
    </row>
    <row r="17" spans="1:25">
      <c r="A17" s="264" t="s">
        <v>251</v>
      </c>
      <c r="B17" s="258"/>
      <c r="C17" s="258"/>
      <c r="D17" s="268"/>
      <c r="E17" s="268"/>
      <c r="F17" s="268"/>
      <c r="G17" s="268"/>
      <c r="H17" s="268"/>
      <c r="I17" s="268"/>
      <c r="J17" s="268"/>
      <c r="K17" s="268"/>
      <c r="O17" s="38"/>
      <c r="P17" s="344">
        <f>O16/P16-1</f>
        <v>9.4430992736077579E-2</v>
      </c>
      <c r="T17" s="398"/>
    </row>
    <row r="18" spans="1:25">
      <c r="A18" t="s">
        <v>261</v>
      </c>
      <c r="B18" s="260"/>
      <c r="C18" s="260"/>
      <c r="D18" s="267">
        <f t="shared" ref="D18:K18" si="6">(D19*D21)/1000</f>
        <v>233.32499999999999</v>
      </c>
      <c r="E18" s="267">
        <f t="shared" si="6"/>
        <v>776.46799999999996</v>
      </c>
      <c r="F18" s="267">
        <f t="shared" si="6"/>
        <v>1057.9449999999999</v>
      </c>
      <c r="G18" s="267">
        <f t="shared" si="6"/>
        <v>1267.2850000000001</v>
      </c>
      <c r="H18" s="314">
        <f>SUM(D18:G18)</f>
        <v>3335.0230000000001</v>
      </c>
      <c r="I18" s="267">
        <f t="shared" si="6"/>
        <v>658.71600000000001</v>
      </c>
      <c r="J18" s="267">
        <f t="shared" si="6"/>
        <v>1256.97</v>
      </c>
      <c r="K18" s="267">
        <f t="shared" si="6"/>
        <v>1394.204</v>
      </c>
      <c r="L18" s="267">
        <f>L19*L21/1000</f>
        <v>1200.0530000000001</v>
      </c>
      <c r="M18" s="314">
        <f>SUM(I18:L18)</f>
        <v>4509.9430000000002</v>
      </c>
      <c r="N18" s="341"/>
      <c r="O18" s="314">
        <f>M18</f>
        <v>4509.9430000000002</v>
      </c>
      <c r="P18" s="314">
        <f>H18</f>
        <v>3335.0230000000001</v>
      </c>
      <c r="Q18" s="331"/>
      <c r="R18" s="267">
        <v>1077</v>
      </c>
      <c r="S18" s="385">
        <v>1156</v>
      </c>
      <c r="T18" s="267">
        <v>1214</v>
      </c>
      <c r="U18" s="34"/>
      <c r="V18" s="34"/>
      <c r="W18" s="34"/>
      <c r="X18" s="34"/>
      <c r="Y18" s="34"/>
    </row>
    <row r="19" spans="1:25">
      <c r="A19" s="281" t="s">
        <v>246</v>
      </c>
      <c r="B19" s="258"/>
      <c r="C19" s="258"/>
      <c r="D19" s="272">
        <v>1525</v>
      </c>
      <c r="E19" s="272">
        <v>5042</v>
      </c>
      <c r="F19" s="272">
        <v>5845</v>
      </c>
      <c r="G19" s="272">
        <v>6635</v>
      </c>
      <c r="H19" s="310">
        <f>SUM(D19:G19)</f>
        <v>19047</v>
      </c>
      <c r="I19" s="272">
        <v>3229</v>
      </c>
      <c r="J19" s="272">
        <v>6446</v>
      </c>
      <c r="K19" s="272">
        <v>6868</v>
      </c>
      <c r="L19" s="315">
        <v>6283</v>
      </c>
      <c r="M19" s="319">
        <f>SUM(I19:L19)</f>
        <v>22826</v>
      </c>
      <c r="N19" s="343"/>
      <c r="O19" s="345"/>
      <c r="P19" s="344">
        <f>O18/P18-1</f>
        <v>0.35229742043758017</v>
      </c>
      <c r="Q19" s="336"/>
      <c r="R19" s="270"/>
      <c r="S19" s="388">
        <f>S18/R18-1</f>
        <v>7.3351903435468824E-2</v>
      </c>
      <c r="T19" s="388">
        <f>T18/S18-1</f>
        <v>5.0173010380622829E-2</v>
      </c>
      <c r="U19" s="270"/>
      <c r="V19" s="270"/>
      <c r="W19" s="270"/>
      <c r="X19" s="270"/>
      <c r="Y19" s="270"/>
    </row>
    <row r="20" spans="1:25">
      <c r="A20" s="273" t="s">
        <v>240</v>
      </c>
      <c r="B20" s="282"/>
      <c r="C20" s="282"/>
      <c r="D20" s="283"/>
      <c r="E20" s="306">
        <f t="shared" ref="E20:L20" si="7">E19/D19-1</f>
        <v>2.3062295081967212</v>
      </c>
      <c r="F20" s="306">
        <f t="shared" si="7"/>
        <v>0.15926219754065851</v>
      </c>
      <c r="G20" s="306">
        <f t="shared" si="7"/>
        <v>0.13515825491873401</v>
      </c>
      <c r="H20" s="312"/>
      <c r="I20" s="306">
        <f>I19/G19-1</f>
        <v>-0.5133383571966843</v>
      </c>
      <c r="J20" s="306">
        <f t="shared" si="7"/>
        <v>0.99628367915763394</v>
      </c>
      <c r="K20" s="306">
        <f t="shared" si="7"/>
        <v>6.5466956251939212E-2</v>
      </c>
      <c r="L20" s="306">
        <f t="shared" si="7"/>
        <v>-8.5177635410599861E-2</v>
      </c>
      <c r="M20" s="317"/>
      <c r="N20" s="335"/>
      <c r="O20" s="310">
        <f>M19</f>
        <v>22826</v>
      </c>
      <c r="P20" s="310">
        <f>H19</f>
        <v>19047</v>
      </c>
      <c r="Q20" s="335"/>
      <c r="R20" s="385">
        <v>3313</v>
      </c>
      <c r="S20" s="385">
        <v>4013</v>
      </c>
      <c r="T20" s="385">
        <v>5460</v>
      </c>
      <c r="U20" s="34"/>
      <c r="V20" s="34"/>
      <c r="W20" s="34"/>
      <c r="X20" s="34"/>
      <c r="Y20" s="34"/>
    </row>
    <row r="21" spans="1:25">
      <c r="A21" s="281" t="s">
        <v>246</v>
      </c>
      <c r="B21" s="258"/>
      <c r="C21" s="258"/>
      <c r="D21" s="267">
        <v>153</v>
      </c>
      <c r="E21" s="267">
        <v>154</v>
      </c>
      <c r="F21" s="267">
        <v>181</v>
      </c>
      <c r="G21" s="267">
        <v>191</v>
      </c>
      <c r="H21" s="309"/>
      <c r="I21" s="267">
        <v>204</v>
      </c>
      <c r="J21" s="267">
        <v>195</v>
      </c>
      <c r="K21" s="267">
        <v>203</v>
      </c>
      <c r="L21" s="303">
        <v>191</v>
      </c>
      <c r="M21" s="318"/>
      <c r="N21" s="303"/>
      <c r="O21" s="317"/>
      <c r="P21" s="344">
        <f>O20/P20-1</f>
        <v>0.19840394812831419</v>
      </c>
      <c r="Q21" s="338"/>
      <c r="R21" s="34"/>
      <c r="S21" s="390">
        <f>S20/R20-1</f>
        <v>0.21128886205855713</v>
      </c>
      <c r="T21" s="390">
        <f>T20/S20-1</f>
        <v>0.36057812110640408</v>
      </c>
      <c r="U21" s="34"/>
      <c r="V21" s="34"/>
      <c r="W21" s="34"/>
      <c r="X21" s="34"/>
      <c r="Y21" s="34"/>
    </row>
    <row r="22" spans="1:25">
      <c r="A22" s="261" t="s">
        <v>242</v>
      </c>
      <c r="B22" s="282"/>
      <c r="C22" s="282"/>
      <c r="D22" s="283"/>
      <c r="E22" s="306">
        <f t="shared" ref="E22:L22" si="8">E21/D21-1</f>
        <v>6.5359477124182774E-3</v>
      </c>
      <c r="F22" s="306">
        <f t="shared" si="8"/>
        <v>0.17532467532467533</v>
      </c>
      <c r="G22" s="306">
        <f t="shared" si="8"/>
        <v>5.5248618784530468E-2</v>
      </c>
      <c r="H22" s="312"/>
      <c r="I22" s="306">
        <f>I21/G21-1</f>
        <v>6.8062827225130906E-2</v>
      </c>
      <c r="J22" s="306">
        <f t="shared" si="8"/>
        <v>-4.4117647058823484E-2</v>
      </c>
      <c r="K22" s="306">
        <f t="shared" si="8"/>
        <v>4.1025641025641102E-2</v>
      </c>
      <c r="L22" s="306">
        <f t="shared" si="8"/>
        <v>-5.9113300492610876E-2</v>
      </c>
      <c r="M22" s="317"/>
      <c r="N22" s="335"/>
      <c r="O22" s="318">
        <v>198</v>
      </c>
      <c r="P22" s="318">
        <v>175</v>
      </c>
      <c r="Q22" s="335"/>
      <c r="R22" s="303">
        <v>325</v>
      </c>
      <c r="S22" s="34">
        <v>228</v>
      </c>
      <c r="T22" s="34">
        <v>222</v>
      </c>
      <c r="U22" s="399"/>
      <c r="V22" s="34"/>
      <c r="W22" s="34"/>
      <c r="X22" s="34"/>
      <c r="Y22" s="34"/>
    </row>
    <row r="23" spans="1:25">
      <c r="A23" s="265" t="s">
        <v>243</v>
      </c>
      <c r="B23" s="258"/>
      <c r="C23" s="258"/>
      <c r="D23" s="268"/>
      <c r="E23" s="268"/>
      <c r="F23" s="268"/>
      <c r="G23" s="268"/>
      <c r="H23" s="268"/>
      <c r="I23" s="268"/>
      <c r="J23" s="268"/>
      <c r="K23" s="268"/>
      <c r="O23" s="317"/>
      <c r="P23" s="344">
        <f>O22/P22-1</f>
        <v>0.13142857142857145</v>
      </c>
    </row>
    <row r="24" spans="1:25">
      <c r="A24" t="s">
        <v>24</v>
      </c>
      <c r="B24" s="260"/>
      <c r="C24" s="260"/>
      <c r="D24" s="267">
        <f t="shared" ref="D24:K24" si="9">(D25*D27)/1000</f>
        <v>159.74199999999999</v>
      </c>
      <c r="E24" s="267">
        <f t="shared" si="9"/>
        <v>811.20399999999995</v>
      </c>
      <c r="F24" s="267">
        <f t="shared" si="9"/>
        <v>1129.3720000000001</v>
      </c>
      <c r="G24" s="267">
        <f t="shared" si="9"/>
        <v>1132.9549999999999</v>
      </c>
      <c r="H24" s="314">
        <f>SUM(D24:G24)</f>
        <v>3233.2730000000001</v>
      </c>
      <c r="I24" s="267">
        <f t="shared" si="9"/>
        <v>749.66399999999999</v>
      </c>
      <c r="J24" s="267">
        <f t="shared" si="9"/>
        <v>1165.9939999999999</v>
      </c>
      <c r="K24" s="267">
        <f t="shared" si="9"/>
        <v>1316.6010000000001</v>
      </c>
      <c r="L24" s="267">
        <f>L25*L27/1000</f>
        <v>1310.7639999999999</v>
      </c>
      <c r="M24" s="314">
        <f>SUM(I24:L24)</f>
        <v>4543.0230000000001</v>
      </c>
      <c r="N24" s="341"/>
      <c r="O24" s="314">
        <f>M24</f>
        <v>4543.0230000000001</v>
      </c>
      <c r="P24" s="314">
        <f>H24</f>
        <v>3233.2730000000001</v>
      </c>
      <c r="Q24" s="331"/>
      <c r="R24" s="34">
        <v>1236</v>
      </c>
      <c r="S24" s="385">
        <v>1452</v>
      </c>
      <c r="T24" s="385">
        <v>1435</v>
      </c>
      <c r="U24" s="34"/>
      <c r="V24" s="34"/>
      <c r="W24" s="34"/>
      <c r="X24" s="34"/>
      <c r="Y24" s="34"/>
    </row>
    <row r="25" spans="1:25">
      <c r="A25" s="284" t="s">
        <v>246</v>
      </c>
      <c r="B25" s="258"/>
      <c r="C25" s="258"/>
      <c r="D25" s="272">
        <v>583</v>
      </c>
      <c r="E25" s="272">
        <v>2918</v>
      </c>
      <c r="F25" s="272">
        <v>3412</v>
      </c>
      <c r="G25" s="272">
        <v>3265</v>
      </c>
      <c r="H25" s="310">
        <f>SUM(D25:G25)</f>
        <v>10178</v>
      </c>
      <c r="I25" s="272">
        <v>2192</v>
      </c>
      <c r="J25" s="272">
        <v>3491</v>
      </c>
      <c r="K25" s="272">
        <v>3861</v>
      </c>
      <c r="L25" s="315">
        <v>3878</v>
      </c>
      <c r="M25" s="319">
        <f>SUM(I25:L25)</f>
        <v>13422</v>
      </c>
      <c r="N25" s="343"/>
      <c r="O25" s="345"/>
      <c r="P25" s="344">
        <f>O24/P24-1</f>
        <v>0.40508487838793683</v>
      </c>
      <c r="Q25" s="336"/>
      <c r="R25" s="270"/>
      <c r="S25" s="388">
        <f>S24/R24-1</f>
        <v>0.17475728155339798</v>
      </c>
      <c r="T25" s="388">
        <f>T24/S24-1</f>
        <v>-1.1707988980716233E-2</v>
      </c>
      <c r="U25" s="270"/>
      <c r="V25" s="270"/>
      <c r="W25" s="270"/>
      <c r="X25" s="270"/>
      <c r="Y25" s="270"/>
    </row>
    <row r="26" spans="1:25">
      <c r="A26" s="273" t="s">
        <v>240</v>
      </c>
      <c r="B26" s="285"/>
      <c r="C26" s="285"/>
      <c r="D26" s="286"/>
      <c r="E26" s="307">
        <f t="shared" ref="E26:L26" si="10">E25/D25-1</f>
        <v>4.0051457975986278</v>
      </c>
      <c r="F26" s="307">
        <f t="shared" si="10"/>
        <v>0.1692940370116518</v>
      </c>
      <c r="G26" s="307">
        <f t="shared" si="10"/>
        <v>-4.3083235638921469E-2</v>
      </c>
      <c r="H26" s="313"/>
      <c r="I26" s="307">
        <f>I25/G25-1</f>
        <v>-0.3286370597243492</v>
      </c>
      <c r="J26" s="307">
        <f t="shared" si="10"/>
        <v>0.5926094890510949</v>
      </c>
      <c r="K26" s="307">
        <f t="shared" si="10"/>
        <v>0.1059868232598109</v>
      </c>
      <c r="L26" s="307">
        <f t="shared" si="10"/>
        <v>4.4030044030043403E-3</v>
      </c>
      <c r="M26" s="38"/>
      <c r="N26" s="34"/>
      <c r="O26" s="310">
        <f>M25</f>
        <v>13422</v>
      </c>
      <c r="P26" s="310">
        <f>H25</f>
        <v>10178</v>
      </c>
      <c r="Q26" s="337"/>
      <c r="R26" s="34">
        <v>4942</v>
      </c>
      <c r="S26" s="385">
        <v>4013</v>
      </c>
      <c r="T26" s="385">
        <v>4299</v>
      </c>
      <c r="U26" s="34"/>
      <c r="V26" s="34"/>
      <c r="W26" s="34"/>
      <c r="X26" s="34"/>
      <c r="Y26" s="34"/>
    </row>
    <row r="27" spans="1:25">
      <c r="A27" s="281" t="s">
        <v>246</v>
      </c>
      <c r="B27" s="258"/>
      <c r="C27" s="258"/>
      <c r="D27" s="267">
        <v>274</v>
      </c>
      <c r="E27" s="267">
        <v>278</v>
      </c>
      <c r="F27" s="267">
        <v>331</v>
      </c>
      <c r="G27" s="267">
        <v>347</v>
      </c>
      <c r="H27" s="309"/>
      <c r="I27" s="267">
        <v>342</v>
      </c>
      <c r="J27" s="267">
        <v>334</v>
      </c>
      <c r="K27" s="267">
        <v>341</v>
      </c>
      <c r="L27" s="303">
        <v>338</v>
      </c>
      <c r="M27" s="38"/>
      <c r="N27" s="34"/>
      <c r="O27" s="38"/>
      <c r="P27" s="344">
        <f>O26/P26-1</f>
        <v>0.31872666535665162</v>
      </c>
      <c r="Q27" s="337"/>
      <c r="R27" s="34"/>
      <c r="S27" s="390">
        <f>S26/R26-1</f>
        <v>-0.18798057466612705</v>
      </c>
      <c r="T27" s="390">
        <f>T26/S26-1</f>
        <v>7.1268377772240266E-2</v>
      </c>
      <c r="U27" s="34"/>
      <c r="V27" s="34"/>
      <c r="W27" s="34"/>
      <c r="X27" s="34"/>
      <c r="Y27" s="34"/>
    </row>
    <row r="28" spans="1:25">
      <c r="A28" s="261" t="s">
        <v>242</v>
      </c>
      <c r="B28" s="282"/>
      <c r="C28" s="282"/>
      <c r="D28" s="283"/>
      <c r="E28" s="306">
        <f t="shared" ref="E28:L28" si="11">E27/D27-1</f>
        <v>1.4598540145985384E-2</v>
      </c>
      <c r="F28" s="306">
        <f t="shared" si="11"/>
        <v>0.19064748201438841</v>
      </c>
      <c r="G28" s="306">
        <f t="shared" si="11"/>
        <v>4.8338368580060465E-2</v>
      </c>
      <c r="H28" s="312"/>
      <c r="I28" s="306">
        <f>I27/G27-1</f>
        <v>-1.4409221902017322E-2</v>
      </c>
      <c r="J28" s="306">
        <f t="shared" si="11"/>
        <v>-2.3391812865497075E-2</v>
      </c>
      <c r="K28" s="306">
        <f t="shared" si="11"/>
        <v>2.0958083832335328E-2</v>
      </c>
      <c r="L28" s="306">
        <f t="shared" si="11"/>
        <v>-8.7976539589442737E-3</v>
      </c>
      <c r="M28" s="38"/>
      <c r="N28" s="34"/>
      <c r="O28" s="38">
        <v>338</v>
      </c>
      <c r="P28" s="38">
        <v>318</v>
      </c>
      <c r="Q28" s="337"/>
      <c r="R28" s="34">
        <v>250</v>
      </c>
      <c r="S28" s="34">
        <v>362</v>
      </c>
      <c r="T28" s="34">
        <v>334</v>
      </c>
      <c r="U28" s="34"/>
      <c r="V28" s="34"/>
      <c r="W28" s="34"/>
      <c r="X28" s="34"/>
      <c r="Y28" s="34"/>
    </row>
    <row r="29" spans="1:25">
      <c r="A29" s="265" t="s">
        <v>244</v>
      </c>
      <c r="B29" s="258"/>
      <c r="C29" s="258"/>
      <c r="D29" s="268"/>
      <c r="E29" s="268"/>
      <c r="F29" s="268"/>
      <c r="G29" s="268"/>
      <c r="H29" s="268"/>
      <c r="I29" s="268"/>
      <c r="J29" s="268"/>
      <c r="K29" s="268"/>
      <c r="O29" s="38"/>
      <c r="P29" s="344">
        <f>O28/P28-1</f>
        <v>6.2893081761006275E-2</v>
      </c>
    </row>
    <row r="30" spans="1:25">
      <c r="A30" s="281" t="s">
        <v>246</v>
      </c>
      <c r="B30" s="260"/>
      <c r="C30" s="260"/>
      <c r="D30" s="267">
        <v>40</v>
      </c>
      <c r="E30" s="267">
        <v>130</v>
      </c>
      <c r="F30" s="267">
        <v>200</v>
      </c>
      <c r="G30" s="267">
        <v>120</v>
      </c>
      <c r="H30" s="314">
        <f>SUM(D30:G30)</f>
        <v>490</v>
      </c>
      <c r="I30" s="267">
        <v>60</v>
      </c>
      <c r="J30" s="267">
        <v>180</v>
      </c>
      <c r="K30" s="267">
        <v>250</v>
      </c>
      <c r="L30" s="303">
        <v>140</v>
      </c>
      <c r="M30" s="314">
        <f>SUM(I30:L30)</f>
        <v>630</v>
      </c>
      <c r="N30" s="341"/>
      <c r="O30" s="314">
        <f>M30</f>
        <v>630</v>
      </c>
      <c r="P30" s="314">
        <f>H30</f>
        <v>490</v>
      </c>
      <c r="Q30" s="331"/>
      <c r="R30" s="34"/>
      <c r="S30" s="34"/>
      <c r="T30" s="34"/>
      <c r="U30" s="34"/>
      <c r="V30" s="34"/>
      <c r="W30" s="34"/>
      <c r="X30" s="34"/>
      <c r="Y30" s="34"/>
    </row>
    <row r="31" spans="1:25">
      <c r="A31" s="263"/>
      <c r="B31" s="282"/>
      <c r="C31" s="282"/>
      <c r="D31" s="283"/>
      <c r="E31" s="306">
        <f t="shared" ref="E31:L31" si="12">E30/D30-1</f>
        <v>2.25</v>
      </c>
      <c r="F31" s="306">
        <f t="shared" si="12"/>
        <v>0.53846153846153855</v>
      </c>
      <c r="G31" s="306">
        <f t="shared" si="12"/>
        <v>-0.4</v>
      </c>
      <c r="H31" s="312"/>
      <c r="I31" s="306">
        <f>I30/G30-1</f>
        <v>-0.5</v>
      </c>
      <c r="J31" s="306">
        <f t="shared" si="12"/>
        <v>2</v>
      </c>
      <c r="K31" s="306">
        <f t="shared" si="12"/>
        <v>0.38888888888888884</v>
      </c>
      <c r="L31" s="306">
        <f t="shared" si="12"/>
        <v>-0.43999999999999995</v>
      </c>
      <c r="M31" s="38"/>
      <c r="N31" s="34"/>
      <c r="O31" s="38"/>
      <c r="P31" s="344">
        <f>O30/P30-1</f>
        <v>0.28571428571428581</v>
      </c>
      <c r="Q31" s="337"/>
      <c r="R31" s="34"/>
      <c r="S31" s="34"/>
      <c r="T31" s="34"/>
      <c r="U31" s="34"/>
      <c r="V31" s="34"/>
      <c r="W31" s="34"/>
      <c r="X31" s="34"/>
      <c r="Y31" s="34"/>
    </row>
    <row r="32" spans="1:25">
      <c r="B32" s="258"/>
      <c r="C32" s="258"/>
      <c r="D32" s="268"/>
      <c r="E32" s="268"/>
      <c r="F32" s="268"/>
      <c r="G32" s="268"/>
      <c r="H32" s="268"/>
      <c r="I32" s="268"/>
      <c r="J32" s="268"/>
      <c r="K32" s="268"/>
      <c r="L32" s="270"/>
      <c r="M32" s="270"/>
      <c r="N32" s="270"/>
      <c r="O32" s="270"/>
      <c r="P32" s="270"/>
      <c r="Q32" s="339"/>
      <c r="R32" s="270"/>
      <c r="S32" s="270"/>
      <c r="T32" s="270"/>
      <c r="U32" s="270"/>
      <c r="V32" s="270"/>
      <c r="W32" s="270"/>
      <c r="X32" s="270"/>
      <c r="Y32" s="270"/>
    </row>
    <row r="33" spans="1:25">
      <c r="A33" s="274" t="s">
        <v>245</v>
      </c>
      <c r="B33" s="260"/>
      <c r="C33" s="260"/>
      <c r="D33" s="275">
        <f t="shared" ref="D33:P33" si="13">D6+D12+D18+D24+D30</f>
        <v>1270.223</v>
      </c>
      <c r="E33" s="275">
        <f t="shared" si="13"/>
        <v>4231.165</v>
      </c>
      <c r="F33" s="275">
        <f t="shared" si="13"/>
        <v>6035.1190000000006</v>
      </c>
      <c r="G33" s="275">
        <f t="shared" si="13"/>
        <v>5335.0619999999999</v>
      </c>
      <c r="H33" s="267">
        <f>SUM(D33:G33)</f>
        <v>16871.569000000003</v>
      </c>
      <c r="I33" s="275">
        <f t="shared" si="13"/>
        <v>3250.866</v>
      </c>
      <c r="J33" s="275">
        <f t="shared" si="13"/>
        <v>5850.7309999999998</v>
      </c>
      <c r="K33" s="275">
        <f t="shared" si="13"/>
        <v>6489.7610000000004</v>
      </c>
      <c r="L33" s="275">
        <f t="shared" si="13"/>
        <v>5589.232</v>
      </c>
      <c r="M33" s="275">
        <f t="shared" si="13"/>
        <v>21180.59</v>
      </c>
      <c r="N33" s="275"/>
      <c r="O33" s="275">
        <f t="shared" si="13"/>
        <v>21180.59</v>
      </c>
      <c r="P33" s="275">
        <f t="shared" si="13"/>
        <v>16871.569000000003</v>
      </c>
      <c r="Q33" s="275"/>
      <c r="R33" s="275">
        <f>R6+R12+R18+R24</f>
        <v>5135</v>
      </c>
      <c r="S33" s="275">
        <f>S6+S12+S18+S24</f>
        <v>5323</v>
      </c>
      <c r="T33" s="275">
        <f>T6+T12+T18+T24</f>
        <v>5680</v>
      </c>
      <c r="U33" s="34"/>
      <c r="V33" s="34"/>
      <c r="W33" s="34"/>
      <c r="X33" s="34"/>
      <c r="Y33" s="34"/>
    </row>
    <row r="34" spans="1:25">
      <c r="B34" s="258"/>
      <c r="C34" s="258"/>
    </row>
    <row r="35" spans="1:25">
      <c r="B35" s="258"/>
      <c r="C35" s="258"/>
      <c r="G35" t="s">
        <v>247</v>
      </c>
      <c r="H35" s="302">
        <f>H6/$H$33</f>
        <v>0.44156989785597295</v>
      </c>
    </row>
    <row r="36" spans="1:25">
      <c r="B36" s="258"/>
      <c r="C36" s="258"/>
      <c r="G36" t="s">
        <v>249</v>
      </c>
      <c r="H36" s="302">
        <f>H12/$H$33</f>
        <v>0.14007565034407882</v>
      </c>
    </row>
    <row r="37" spans="1:25">
      <c r="B37" s="258"/>
      <c r="C37" s="258"/>
      <c r="G37" t="s">
        <v>248</v>
      </c>
      <c r="H37" s="302">
        <f>H18/$H$33</f>
        <v>0.19767118280463419</v>
      </c>
    </row>
    <row r="38" spans="1:25">
      <c r="B38" s="258"/>
      <c r="C38" s="258"/>
      <c r="G38" t="s">
        <v>250</v>
      </c>
      <c r="H38" s="302">
        <f>H24/$H$33</f>
        <v>0.19164032699033501</v>
      </c>
    </row>
    <row r="39" spans="1:25">
      <c r="B39" s="258"/>
      <c r="C39" s="258"/>
    </row>
    <row r="40" spans="1:25">
      <c r="B40" s="258"/>
      <c r="C40" s="258"/>
    </row>
  </sheetData>
  <mergeCells count="4">
    <mergeCell ref="D4:G4"/>
    <mergeCell ref="I4:L4"/>
    <mergeCell ref="R4:U4"/>
    <mergeCell ref="V4:Y4"/>
  </mergeCells>
  <phoneticPr fontId="31" type="noConversion"/>
  <hyperlinks>
    <hyperlink ref="H5" r:id="rId1" display="FY@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2"/>
  <sheetViews>
    <sheetView topLeftCell="A2" zoomScale="85" zoomScaleNormal="85" zoomScaleSheetLayoutView="100" workbookViewId="0">
      <pane ySplit="1" topLeftCell="A21" activePane="bottomLeft" state="frozen"/>
      <selection activeCell="A2" sqref="A2"/>
      <selection pane="bottomLeft" activeCell="F48" sqref="F48"/>
    </sheetView>
  </sheetViews>
  <sheetFormatPr defaultColWidth="9.140625" defaultRowHeight="15"/>
  <cols>
    <col min="1" max="1" width="19.42578125" style="49" customWidth="1"/>
    <col min="2" max="2" width="12.42578125" style="49" bestFit="1" customWidth="1"/>
    <col min="3" max="3" width="15.42578125" style="49" bestFit="1" customWidth="1"/>
    <col min="4" max="4" width="15.85546875" style="49" bestFit="1" customWidth="1"/>
    <col min="5" max="5" width="18.42578125" style="49" bestFit="1" customWidth="1"/>
    <col min="6" max="6" width="13.42578125" style="49" bestFit="1" customWidth="1"/>
    <col min="7" max="16384" width="9.140625" style="49"/>
  </cols>
  <sheetData>
    <row r="1" spans="1:24" hidden="1">
      <c r="A1" s="48" t="s">
        <v>76</v>
      </c>
      <c r="B1" s="48"/>
      <c r="C1" s="48"/>
      <c r="D1" s="48"/>
      <c r="E1" s="48"/>
      <c r="F1" s="48"/>
    </row>
    <row r="2" spans="1:24">
      <c r="A2" s="50"/>
      <c r="B2" s="50" t="s">
        <v>77</v>
      </c>
      <c r="C2" s="50" t="s">
        <v>82</v>
      </c>
      <c r="D2" s="50" t="s">
        <v>79</v>
      </c>
      <c r="E2" s="50" t="s">
        <v>84</v>
      </c>
      <c r="F2" s="50" t="s">
        <v>81</v>
      </c>
    </row>
    <row r="3" spans="1:24">
      <c r="A3" s="51" t="s">
        <v>85</v>
      </c>
      <c r="B3" s="51"/>
      <c r="C3" s="51"/>
      <c r="D3" s="51"/>
      <c r="E3" s="51"/>
      <c r="F3" s="51"/>
    </row>
    <row r="4" spans="1:24">
      <c r="A4" s="51" t="s">
        <v>71</v>
      </c>
      <c r="B4" s="52"/>
      <c r="C4" s="52"/>
      <c r="D4" s="52"/>
      <c r="E4" s="52"/>
      <c r="F4" s="52"/>
    </row>
    <row r="5" spans="1:24">
      <c r="A5" s="52" t="s">
        <v>113</v>
      </c>
      <c r="B5" s="53">
        <f>'Sheela Foam Income Statement'!B6</f>
        <v>21690.060999999998</v>
      </c>
      <c r="C5" s="54">
        <f>Working!C5</f>
        <v>128493.81</v>
      </c>
      <c r="D5" s="54">
        <f>Working!D5</f>
        <v>45557</v>
      </c>
      <c r="E5" s="54">
        <f>Working!E5</f>
        <v>10878</v>
      </c>
      <c r="F5" s="54">
        <f>Working!F5</f>
        <v>17653</v>
      </c>
      <c r="L5" s="49">
        <v>10</v>
      </c>
    </row>
    <row r="6" spans="1:24">
      <c r="A6" s="52" t="s">
        <v>86</v>
      </c>
      <c r="B6" s="55">
        <f>'Sheela Foam Income Statement'!B8</f>
        <v>0</v>
      </c>
      <c r="C6" s="56">
        <f>Working!C7</f>
        <v>-0.24820377622688949</v>
      </c>
      <c r="D6" s="56">
        <f>Working!D7</f>
        <v>7.8468530441894391E-2</v>
      </c>
      <c r="E6" s="56">
        <f>Working!E7</f>
        <v>0.15461710681809615</v>
      </c>
      <c r="F6" s="56">
        <f>Working!F7</f>
        <v>0.41634827902293581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1:24">
      <c r="A7" s="51" t="s">
        <v>4</v>
      </c>
      <c r="B7" s="58">
        <f>'Sheela Foam Income Statement'!B25</f>
        <v>2110.2099999999955</v>
      </c>
      <c r="C7" s="54">
        <f>Working!C12</f>
        <v>1927.6689999999999</v>
      </c>
      <c r="D7" s="54">
        <f>Working!D12</f>
        <v>1276</v>
      </c>
      <c r="E7" s="54">
        <f>Working!E12</f>
        <v>953.2</v>
      </c>
      <c r="F7" s="54">
        <f>Working!F12</f>
        <v>577.6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spans="1:24">
      <c r="A8" s="52" t="s">
        <v>86</v>
      </c>
      <c r="B8" s="59">
        <f>'Sheela Foam Income Statement'!B27</f>
        <v>0</v>
      </c>
      <c r="C8" s="56">
        <f>Working!C14</f>
        <v>-3.6477790818822187E-2</v>
      </c>
      <c r="D8" s="56">
        <v>0.13223731761990876</v>
      </c>
      <c r="E8" s="56">
        <v>8.9381343213982722E-2</v>
      </c>
      <c r="F8" s="56">
        <v>-8.0630353962739543E-3</v>
      </c>
      <c r="K8" s="57"/>
      <c r="L8" s="57"/>
      <c r="M8" s="60"/>
      <c r="N8" s="60"/>
      <c r="O8" s="60"/>
      <c r="P8" s="60"/>
      <c r="Q8" s="60"/>
      <c r="R8" s="60"/>
      <c r="S8" s="60"/>
      <c r="T8" s="60"/>
      <c r="U8" s="60"/>
      <c r="V8" s="60"/>
      <c r="W8" s="57"/>
      <c r="X8" s="61">
        <v>10</v>
      </c>
    </row>
    <row r="9" spans="1:24">
      <c r="A9" s="51" t="s">
        <v>87</v>
      </c>
      <c r="B9" s="62">
        <f>'Sheela Foam Income Statement'!B28</f>
        <v>9.8541202981494477E-2</v>
      </c>
      <c r="C9" s="63">
        <f>C7/C5</f>
        <v>1.5002037841355937E-2</v>
      </c>
      <c r="D9" s="63">
        <f>D7/D5</f>
        <v>2.8008868011502073E-2</v>
      </c>
      <c r="E9" s="63">
        <f>E7/E5</f>
        <v>8.7626401912116209E-2</v>
      </c>
      <c r="F9" s="63">
        <f>F7/F5</f>
        <v>3.2719651050812891E-2</v>
      </c>
      <c r="K9" s="57"/>
      <c r="L9" s="57"/>
      <c r="M9" s="64"/>
      <c r="N9" s="65"/>
      <c r="O9" s="64"/>
      <c r="P9" s="65"/>
      <c r="Q9" s="64"/>
      <c r="R9" s="65"/>
      <c r="S9" s="64"/>
      <c r="T9" s="65"/>
      <c r="U9" s="65"/>
      <c r="V9" s="65"/>
      <c r="W9" s="57"/>
    </row>
    <row r="10" spans="1:24">
      <c r="A10" s="51" t="s">
        <v>13</v>
      </c>
      <c r="B10" s="66">
        <f>'Sheela Foam Income Statement'!B37</f>
        <v>1337.4039999999957</v>
      </c>
      <c r="C10" s="54">
        <f>Working!C25</f>
        <v>-879.7</v>
      </c>
      <c r="D10" s="54">
        <f>Working!D25</f>
        <v>108.80000000000001</v>
      </c>
      <c r="E10" s="54">
        <f>Working!E25</f>
        <v>237.10000000000002</v>
      </c>
      <c r="F10" s="54">
        <f>Working!F25</f>
        <v>313.60000000000002</v>
      </c>
      <c r="K10" s="57"/>
      <c r="L10" s="67"/>
      <c r="M10" s="68"/>
      <c r="N10" s="67"/>
      <c r="O10" s="68"/>
      <c r="P10" s="67"/>
      <c r="Q10" s="68"/>
      <c r="R10" s="67"/>
      <c r="S10" s="68"/>
      <c r="T10" s="67"/>
      <c r="U10" s="67"/>
      <c r="V10" s="67"/>
      <c r="W10" s="57"/>
    </row>
    <row r="11" spans="1:24">
      <c r="A11" s="52" t="s">
        <v>86</v>
      </c>
      <c r="B11" s="59">
        <v>0.84889999999999999</v>
      </c>
      <c r="C11" s="56">
        <f>Working!C27</f>
        <v>-0.58906108643391231</v>
      </c>
      <c r="D11" s="56">
        <f>Working!D27</f>
        <v>4.9574064777008431E-2</v>
      </c>
      <c r="E11" s="56">
        <f>Working!E27</f>
        <v>0.23654902446034831</v>
      </c>
      <c r="F11" s="56">
        <f>Working!F27</f>
        <v>2.2558108856564729E-2</v>
      </c>
      <c r="K11" s="57"/>
      <c r="L11" s="57"/>
      <c r="M11" s="69"/>
      <c r="N11" s="65"/>
      <c r="O11" s="69"/>
      <c r="P11" s="65"/>
      <c r="Q11" s="69"/>
      <c r="R11" s="65"/>
      <c r="S11" s="69"/>
      <c r="T11" s="65"/>
      <c r="U11" s="65"/>
      <c r="V11" s="65"/>
      <c r="W11" s="57"/>
    </row>
    <row r="12" spans="1:24">
      <c r="A12" s="51" t="s">
        <v>88</v>
      </c>
      <c r="B12" s="70">
        <f>'Sheela Foam Income Statement'!B38</f>
        <v>6.2453215098147816E-2</v>
      </c>
      <c r="C12" s="71">
        <f>C10/C5</f>
        <v>-6.8462441887278463E-3</v>
      </c>
      <c r="D12" s="71">
        <f>D10/D5</f>
        <v>2.3882169589744717E-3</v>
      </c>
      <c r="E12" s="71">
        <f>E10/E5</f>
        <v>2.179628608200037E-2</v>
      </c>
      <c r="F12" s="71">
        <f>F10/F5</f>
        <v>1.776468588908401E-2</v>
      </c>
      <c r="K12" s="57"/>
      <c r="L12" s="67"/>
      <c r="M12" s="72"/>
      <c r="N12" s="73"/>
      <c r="O12" s="72"/>
      <c r="P12" s="73"/>
      <c r="Q12" s="72"/>
      <c r="R12" s="73"/>
      <c r="S12" s="72"/>
      <c r="T12" s="73"/>
      <c r="U12" s="73"/>
      <c r="V12" s="73"/>
      <c r="W12" s="57"/>
    </row>
    <row r="13" spans="1:24">
      <c r="A13" s="52" t="s">
        <v>89</v>
      </c>
      <c r="B13" s="74">
        <f>'Sheela Foam Income Statement'!B44</f>
        <v>13.71</v>
      </c>
      <c r="C13" s="52">
        <f>Working!C29</f>
        <v>-0.32</v>
      </c>
      <c r="D13" s="52">
        <f>Working!D29</f>
        <v>0.83</v>
      </c>
      <c r="E13" s="52">
        <f>Working!E29</f>
        <v>8.26</v>
      </c>
      <c r="F13" s="52">
        <f>Working!F29</f>
        <v>33.479999999999997</v>
      </c>
      <c r="K13" s="57"/>
      <c r="L13" s="67"/>
      <c r="M13" s="68"/>
      <c r="N13" s="67"/>
      <c r="O13" s="68"/>
      <c r="P13" s="67"/>
      <c r="Q13" s="68"/>
      <c r="R13" s="67"/>
      <c r="S13" s="68"/>
      <c r="T13" s="67"/>
      <c r="U13" s="67"/>
      <c r="V13" s="67"/>
      <c r="W13" s="57"/>
    </row>
    <row r="14" spans="1:24">
      <c r="A14" s="52"/>
      <c r="B14" s="52"/>
      <c r="C14" s="52"/>
      <c r="D14" s="52"/>
      <c r="E14" s="52"/>
      <c r="F14" s="52"/>
      <c r="K14" s="57"/>
      <c r="L14" s="57"/>
      <c r="M14" s="69"/>
      <c r="N14" s="65"/>
      <c r="O14" s="69"/>
      <c r="P14" s="65"/>
      <c r="Q14" s="69"/>
      <c r="R14" s="65"/>
      <c r="S14" s="64"/>
      <c r="T14" s="65"/>
      <c r="U14" s="65"/>
      <c r="V14" s="65"/>
      <c r="W14" s="57"/>
    </row>
    <row r="15" spans="1:24">
      <c r="A15" s="52"/>
      <c r="B15" s="52"/>
      <c r="C15" s="52"/>
      <c r="D15" s="52"/>
      <c r="E15" s="52"/>
      <c r="F15" s="52"/>
      <c r="K15" s="57"/>
      <c r="L15" s="67"/>
      <c r="M15" s="72"/>
      <c r="N15" s="69"/>
      <c r="O15" s="72"/>
      <c r="P15" s="75"/>
      <c r="Q15" s="72"/>
      <c r="R15" s="75"/>
      <c r="S15" s="72"/>
      <c r="T15" s="64"/>
      <c r="U15" s="73"/>
      <c r="V15" s="75"/>
      <c r="W15" s="57"/>
    </row>
    <row r="16" spans="1:24">
      <c r="A16" s="51" t="s">
        <v>90</v>
      </c>
      <c r="B16" s="52"/>
      <c r="C16" s="52"/>
      <c r="D16" s="52"/>
      <c r="E16" s="52"/>
      <c r="F16" s="52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spans="1:23">
      <c r="A17" s="51" t="s">
        <v>91</v>
      </c>
      <c r="B17" s="58">
        <f>'Sheela Foam Income Statement'!J7</f>
        <v>7301.03</v>
      </c>
      <c r="C17" s="54">
        <f>Working!K5</f>
        <v>-50228.231</v>
      </c>
      <c r="D17" s="54">
        <f>Working!L5</f>
        <v>2346.6999999999998</v>
      </c>
      <c r="E17" s="54">
        <f>Working!M5</f>
        <v>3978.8</v>
      </c>
      <c r="F17" s="54">
        <f>Working!N5</f>
        <v>3695.6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spans="1:23">
      <c r="A18" s="51" t="s">
        <v>62</v>
      </c>
      <c r="B18" s="52"/>
      <c r="C18" s="52"/>
      <c r="D18" s="52"/>
      <c r="E18" s="52"/>
      <c r="F18" s="52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spans="1:23">
      <c r="A19" s="52" t="s">
        <v>92</v>
      </c>
      <c r="B19" s="58">
        <f>'Sheela Foam Income Statement'!J9</f>
        <v>55.536000000000001</v>
      </c>
      <c r="C19" s="54">
        <f>Working!K6</f>
        <v>160.69999999999999</v>
      </c>
      <c r="D19" s="54">
        <f>Working!L6</f>
        <v>528.1</v>
      </c>
      <c r="E19" s="54">
        <f>Working!M6</f>
        <v>1695.367</v>
      </c>
      <c r="F19" s="54">
        <f>Working!N6</f>
        <v>0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spans="1:23">
      <c r="A20" s="52" t="s">
        <v>93</v>
      </c>
      <c r="B20" s="58">
        <f>'Sheela Foam Income Statement'!J10</f>
        <v>226.63800000000001</v>
      </c>
      <c r="C20" s="54">
        <f>Working!K7</f>
        <v>82290.899999999994</v>
      </c>
      <c r="D20" s="54">
        <f>Working!L7</f>
        <v>2391.3999999999996</v>
      </c>
      <c r="E20" s="54">
        <f>Working!M7</f>
        <v>314.10000000000002</v>
      </c>
      <c r="F20" s="54">
        <f>Working!N7</f>
        <v>21</v>
      </c>
    </row>
    <row r="21" spans="1:23">
      <c r="A21" s="52"/>
      <c r="B21" s="52"/>
      <c r="C21" s="52"/>
      <c r="D21" s="52"/>
      <c r="E21" s="52"/>
      <c r="F21" s="52"/>
    </row>
    <row r="22" spans="1:23">
      <c r="A22" s="52"/>
      <c r="B22" s="52"/>
      <c r="C22" s="52"/>
      <c r="D22" s="52"/>
      <c r="E22" s="52"/>
      <c r="F22" s="52"/>
    </row>
    <row r="23" spans="1:23">
      <c r="A23" s="51" t="s">
        <v>16</v>
      </c>
      <c r="B23" s="52"/>
      <c r="C23" s="52"/>
      <c r="D23" s="52"/>
      <c r="E23" s="52"/>
      <c r="F23" s="52"/>
    </row>
    <row r="24" spans="1:23">
      <c r="A24" s="52" t="s">
        <v>94</v>
      </c>
      <c r="B24" s="54">
        <v>526.49699999999996</v>
      </c>
      <c r="C24" s="54">
        <v>0</v>
      </c>
      <c r="D24" s="54">
        <v>1017</v>
      </c>
      <c r="E24" s="54">
        <v>306</v>
      </c>
      <c r="F24" s="54">
        <v>416</v>
      </c>
    </row>
    <row r="25" spans="1:23">
      <c r="A25" s="52" t="s">
        <v>23</v>
      </c>
      <c r="B25" s="54">
        <v>341</v>
      </c>
      <c r="C25" s="54">
        <v>0</v>
      </c>
      <c r="D25" s="54">
        <v>776</v>
      </c>
      <c r="E25" s="54">
        <v>6</v>
      </c>
      <c r="F25" s="54">
        <v>268</v>
      </c>
    </row>
    <row r="26" spans="1:23">
      <c r="A26" s="76"/>
      <c r="B26" s="76"/>
      <c r="C26" s="76"/>
      <c r="D26" s="76"/>
      <c r="E26" s="76"/>
      <c r="F26" s="76"/>
    </row>
    <row r="27" spans="1:23">
      <c r="A27" s="52" t="s">
        <v>59</v>
      </c>
      <c r="B27" s="84">
        <f>'Sheela Foam Income Statement'!B65</f>
        <v>14822.767512</v>
      </c>
      <c r="C27" s="85">
        <f>Working!K27</f>
        <v>2261.8618879400001</v>
      </c>
      <c r="D27" s="85">
        <f>Working!L27</f>
        <v>1503.6030000000001</v>
      </c>
      <c r="E27" s="85">
        <f>Working!M27</f>
        <v>4031.89752</v>
      </c>
      <c r="F27" s="85">
        <f>Working!N27</f>
        <v>4599.2515009999997</v>
      </c>
    </row>
    <row r="28" spans="1:23">
      <c r="A28" s="52" t="s">
        <v>114</v>
      </c>
      <c r="B28" s="49">
        <f>'Sheela Foam Income Statement'!B68</f>
        <v>12218.148512000002</v>
      </c>
    </row>
    <row r="29" spans="1:23">
      <c r="A29" s="52"/>
      <c r="B29" s="52"/>
      <c r="C29" s="52"/>
      <c r="D29" s="52"/>
      <c r="E29" s="52"/>
      <c r="F29" s="52"/>
    </row>
    <row r="30" spans="1:23">
      <c r="A30" s="52"/>
      <c r="B30" s="52"/>
      <c r="C30" s="52"/>
      <c r="D30" s="52"/>
      <c r="E30" s="52"/>
      <c r="F30" s="52"/>
    </row>
    <row r="31" spans="1:23">
      <c r="A31" s="51" t="s">
        <v>95</v>
      </c>
      <c r="B31" s="52"/>
      <c r="C31" s="52"/>
      <c r="D31" s="52"/>
      <c r="E31" s="52"/>
      <c r="F31" s="52"/>
    </row>
    <row r="32" spans="1:23">
      <c r="A32" s="52" t="s">
        <v>96</v>
      </c>
      <c r="B32" s="77">
        <f>'Sheela Foam Income Statement'!J58</f>
        <v>47.556528081692193</v>
      </c>
      <c r="C32" s="78">
        <f>Working!K34</f>
        <v>-21.15625</v>
      </c>
      <c r="D32" s="78">
        <f>Working!L34</f>
        <v>13.734939759036145</v>
      </c>
      <c r="E32" s="78">
        <f>Working!M34</f>
        <v>16.949152542372882</v>
      </c>
      <c r="F32" s="78">
        <f>Working!N34</f>
        <v>14.66547192353644</v>
      </c>
    </row>
    <row r="33" spans="1:6">
      <c r="A33" s="52" t="s">
        <v>50</v>
      </c>
      <c r="B33" s="79">
        <v>1.2121212121212121E-2</v>
      </c>
      <c r="C33" s="52">
        <f>Working!K42</f>
        <v>0</v>
      </c>
      <c r="D33" s="52">
        <f>Working!L42</f>
        <v>0</v>
      </c>
      <c r="E33" s="52">
        <f>Working!M42</f>
        <v>0</v>
      </c>
      <c r="F33" s="52">
        <f>Working!N42</f>
        <v>0</v>
      </c>
    </row>
    <row r="34" spans="1:6">
      <c r="A34" s="52" t="s">
        <v>97</v>
      </c>
      <c r="B34" s="74">
        <f>'Sheela Foam Income Statement'!J59</f>
        <v>2.030229640475385</v>
      </c>
      <c r="C34" s="80">
        <f>Working!K35</f>
        <v>334.10072199999996</v>
      </c>
      <c r="D34" s="80">
        <f>Working!L35</f>
        <v>131.89500000000001</v>
      </c>
      <c r="E34" s="80">
        <f>Working!M35</f>
        <v>28.799267999999998</v>
      </c>
      <c r="F34" s="80">
        <f>Working!N35</f>
        <v>9.3671109999999995</v>
      </c>
    </row>
    <row r="35" spans="1:6">
      <c r="A35" s="52" t="s">
        <v>98</v>
      </c>
      <c r="B35" s="74">
        <f>'Sheela Foam Income Statement'!J60</f>
        <v>5.7900154543860696</v>
      </c>
      <c r="C35" s="78">
        <f>Working!K36</f>
        <v>43.120609341095388</v>
      </c>
      <c r="D35" s="78">
        <f>Working!L36</f>
        <v>3.3340148902821314</v>
      </c>
      <c r="E35" s="78">
        <f>Working!M36</f>
        <v>6.3211965169953839</v>
      </c>
      <c r="F35" s="78">
        <f>Working!N36</f>
        <v>7.2229077233379488</v>
      </c>
    </row>
    <row r="36" spans="1:6">
      <c r="A36" s="52"/>
      <c r="B36" s="52"/>
      <c r="C36" s="52"/>
      <c r="D36" s="52"/>
      <c r="E36" s="52"/>
      <c r="F36" s="52"/>
    </row>
    <row r="37" spans="1:6">
      <c r="A37" s="51" t="s">
        <v>99</v>
      </c>
      <c r="B37" s="52"/>
      <c r="C37" s="52"/>
      <c r="D37" s="52"/>
      <c r="E37" s="52"/>
      <c r="F37" s="52"/>
    </row>
    <row r="38" spans="1:6">
      <c r="A38" s="51" t="s">
        <v>100</v>
      </c>
      <c r="B38" s="52"/>
      <c r="C38" s="52"/>
      <c r="D38" s="52"/>
      <c r="E38" s="52"/>
      <c r="F38" s="52"/>
    </row>
    <row r="39" spans="1:6">
      <c r="A39" s="52" t="s">
        <v>101</v>
      </c>
      <c r="B39" s="52"/>
      <c r="C39" s="52"/>
      <c r="D39" s="52"/>
      <c r="E39" s="52"/>
      <c r="F39" s="52"/>
    </row>
    <row r="40" spans="1:6">
      <c r="A40" s="52" t="s">
        <v>102</v>
      </c>
      <c r="B40" s="86">
        <f>'Sheela Foam Income Statement'!J56</f>
        <v>321.14593689378512</v>
      </c>
      <c r="C40" s="78">
        <f>Working!K33</f>
        <v>2.026335040365462E-2</v>
      </c>
      <c r="D40" s="78">
        <f>Working!L33</f>
        <v>8.6432389400659615E-2</v>
      </c>
      <c r="E40" s="78">
        <f>Working!M33</f>
        <v>4.8612346674922433</v>
      </c>
      <c r="F40" s="78">
        <f>Working!N33</f>
        <v>52.41744226154681</v>
      </c>
    </row>
    <row r="41" spans="1:6">
      <c r="A41" s="52" t="s">
        <v>103</v>
      </c>
      <c r="B41" s="59">
        <f>'Sheela Foam Income Statement'!J61</f>
        <v>0.18318018142645567</v>
      </c>
      <c r="C41" s="56">
        <f>Working!K37</f>
        <v>1.7514054994291955E-2</v>
      </c>
      <c r="D41" s="56">
        <f>Working!L37</f>
        <v>4.6362977798610823E-2</v>
      </c>
      <c r="E41" s="56">
        <f>Working!M37</f>
        <v>5.9590831406454207E-2</v>
      </c>
      <c r="F41" s="56">
        <f>Working!N37</f>
        <v>8.4857668578850534E-2</v>
      </c>
    </row>
    <row r="42" spans="1:6">
      <c r="A42" s="52" t="s">
        <v>104</v>
      </c>
      <c r="B42" s="55">
        <f>'Sheela Foam Income Statement'!J62</f>
        <v>0.20919429351008212</v>
      </c>
      <c r="C42" s="56">
        <f>Working!K38</f>
        <v>-0.10217254586775829</v>
      </c>
      <c r="D42" s="56">
        <f>Working!L38</f>
        <v>1.8704801989669</v>
      </c>
      <c r="E42" s="56">
        <f>Working!M38</f>
        <v>8.828486773237762E-2</v>
      </c>
      <c r="F42" s="56">
        <f>Working!N38</f>
        <v>9.7239893023135085E-2</v>
      </c>
    </row>
    <row r="43" spans="1:6">
      <c r="A43" s="52" t="s">
        <v>105</v>
      </c>
      <c r="B43" s="81">
        <f>'Sheela Foam Income Statement'!J71</f>
        <v>6.3055800770173471</v>
      </c>
      <c r="C43" s="78">
        <f>Working!K49</f>
        <v>0.42166778306285724</v>
      </c>
      <c r="D43" s="78">
        <f>Working!L49</f>
        <v>5.2580284039774348E-2</v>
      </c>
      <c r="E43" s="78">
        <f>Working!M49</f>
        <v>0.56772384629527495</v>
      </c>
      <c r="F43" s="78">
        <f>Working!N49</f>
        <v>0.10183538208803036</v>
      </c>
    </row>
    <row r="44" spans="1:6">
      <c r="A44" s="52" t="s">
        <v>106</v>
      </c>
      <c r="B44" s="82">
        <f>'Sheela Foam Income Statement'!J66</f>
        <v>0.58172657974544206</v>
      </c>
      <c r="C44" s="78">
        <f>Working!K43</f>
        <v>7.7727440722630927</v>
      </c>
      <c r="D44" s="78">
        <f>Working!L43</f>
        <v>28.657912066202783</v>
      </c>
      <c r="E44" s="78">
        <f>Working!M43</f>
        <v>16.345812649384079</v>
      </c>
      <c r="F44" s="78">
        <f>Working!N43</f>
        <v>12.552625616042599</v>
      </c>
    </row>
    <row r="45" spans="1:6">
      <c r="A45" s="52" t="s">
        <v>53</v>
      </c>
      <c r="B45" s="83" t="e">
        <f>'Sheela Foam Income Statement'!#REF!</f>
        <v>#REF!</v>
      </c>
      <c r="C45" s="78">
        <f>Working!K45</f>
        <v>39.263176497002313</v>
      </c>
      <c r="D45" s="78">
        <f>Working!L45</f>
        <v>38.07677553575548</v>
      </c>
      <c r="E45" s="78">
        <f>Working!M45</f>
        <v>42.087965745192307</v>
      </c>
      <c r="F45" s="78">
        <f>Working!N45</f>
        <v>34.395325496765253</v>
      </c>
    </row>
    <row r="46" spans="1:6">
      <c r="A46" s="52" t="s">
        <v>107</v>
      </c>
      <c r="B46" s="82">
        <f>'Sheela Foam Income Statement'!J67</f>
        <v>23</v>
      </c>
      <c r="C46" s="78">
        <f>Working!K44</f>
        <v>71.118965410665552</v>
      </c>
      <c r="D46" s="78">
        <f>Working!L44</f>
        <v>60.443029853230854</v>
      </c>
      <c r="E46" s="78">
        <f>Working!M44</f>
        <v>57.935353132682216</v>
      </c>
      <c r="F46" s="78">
        <f>Working!N44</f>
        <v>20.146138472311375</v>
      </c>
    </row>
    <row r="47" spans="1:6">
      <c r="A47" s="52" t="s">
        <v>108</v>
      </c>
      <c r="B47" s="83">
        <f>'Sheela Foam Income Statement'!J68</f>
        <v>-22.418273420254557</v>
      </c>
      <c r="C47" s="78">
        <f>Working!K46</f>
        <v>-24.083044841400145</v>
      </c>
      <c r="D47" s="78">
        <f>Working!L46</f>
        <v>6.2916577487274026</v>
      </c>
      <c r="E47" s="78">
        <f>Working!M46</f>
        <v>0.49842526189416958</v>
      </c>
      <c r="F47" s="78">
        <f>Working!N46</f>
        <v>26.801812640496475</v>
      </c>
    </row>
    <row r="48" spans="1:6">
      <c r="A48" s="52" t="s">
        <v>54</v>
      </c>
      <c r="B48" s="82">
        <f>'Sheela Foam Income Statement'!J69</f>
        <v>62.442143858267194</v>
      </c>
      <c r="C48" s="78">
        <f>Working!K47</f>
        <v>-295.49693094165394</v>
      </c>
      <c r="D48" s="78">
        <f>Working!L47</f>
        <v>4.1557938406831063</v>
      </c>
      <c r="E48" s="78">
        <f>Working!M47</f>
        <v>-7.5597076668505228</v>
      </c>
      <c r="F48" s="78">
        <f>Working!N47</f>
        <v>42.895201948677268</v>
      </c>
    </row>
    <row r="49" spans="1:6">
      <c r="A49" s="52" t="s">
        <v>109</v>
      </c>
      <c r="B49" s="82">
        <f>'Sheela Foam Income Statement'!J63</f>
        <v>3.8648519455474088E-2</v>
      </c>
      <c r="C49" s="78">
        <f>Working!K39</f>
        <v>-1.6415389982577724</v>
      </c>
      <c r="D49" s="78">
        <f>Working!L39</f>
        <v>1.2440874419397452</v>
      </c>
      <c r="E49" s="78">
        <f>Working!M39</f>
        <v>0.50504348044636571</v>
      </c>
      <c r="F49" s="78">
        <f>Working!N39</f>
        <v>5.6824331637623125E-3</v>
      </c>
    </row>
    <row r="50" spans="1:6">
      <c r="A50" s="52" t="s">
        <v>110</v>
      </c>
      <c r="B50" s="82">
        <f>'Sheela Foam Income Statement'!J64</f>
        <v>-0.35674678778199792</v>
      </c>
      <c r="C50" s="78">
        <f>Working!K40</f>
        <v>-1.6098596026605037</v>
      </c>
      <c r="D50" s="78">
        <f>Working!L40</f>
        <v>1.1721140324711294</v>
      </c>
      <c r="E50" s="78">
        <f>Working!M40</f>
        <v>0.50102216748768469</v>
      </c>
      <c r="F50" s="78">
        <f>Working!N40</f>
        <v>-0.11562398527979217</v>
      </c>
    </row>
    <row r="51" spans="1:6">
      <c r="A51" s="52" t="s">
        <v>111</v>
      </c>
      <c r="B51" s="82">
        <v>3.7795698924731185</v>
      </c>
      <c r="C51" s="78">
        <f>Working!K50</f>
        <v>0.38159090205873836</v>
      </c>
      <c r="D51" s="78">
        <f>Working!L50</f>
        <v>1.1679608171066778</v>
      </c>
      <c r="E51" s="78">
        <f>Working!M50</f>
        <v>2.2513307984790871</v>
      </c>
      <c r="F51" s="78">
        <f>Working!N50</f>
        <v>13.192567567567568</v>
      </c>
    </row>
    <row r="52" spans="1:6">
      <c r="A52" s="52" t="s">
        <v>112</v>
      </c>
      <c r="B52" s="55">
        <f>'Sheela Foam Income Statement'!J70</f>
        <v>0.34104843110988259</v>
      </c>
      <c r="C52" s="56">
        <f>Working!K48</f>
        <v>1.7246918192005981E-2</v>
      </c>
      <c r="D52" s="56">
        <f>Working!L48</f>
        <v>0.28672717931152597</v>
      </c>
      <c r="E52" s="56">
        <f>Working!M48</f>
        <v>0.13088047726088559</v>
      </c>
      <c r="F52" s="56">
        <f>Working!N48</f>
        <v>1.4095238095238096</v>
      </c>
    </row>
  </sheetData>
  <pageMargins left="0.7" right="0.7" top="0.75" bottom="0.75" header="0.3" footer="0.3"/>
  <pageSetup paperSize="9" scale="93" orientation="portrait" horizontalDpi="1200" verticalDpi="1200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"/>
  <sheetViews>
    <sheetView topLeftCell="A19" workbookViewId="0">
      <selection activeCell="L38" sqref="L38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115</v>
      </c>
      <c r="B1" t="s">
        <v>116</v>
      </c>
    </row>
    <row r="4" spans="1:14">
      <c r="A4" s="34" t="s">
        <v>149</v>
      </c>
      <c r="B4" s="34" t="s">
        <v>117</v>
      </c>
      <c r="C4" s="34" t="s">
        <v>118</v>
      </c>
      <c r="D4" s="34" t="s">
        <v>78</v>
      </c>
      <c r="E4" s="34" t="s">
        <v>83</v>
      </c>
      <c r="F4" s="34" t="s">
        <v>80</v>
      </c>
      <c r="G4" s="34" t="s">
        <v>119</v>
      </c>
      <c r="I4" s="34" t="s">
        <v>70</v>
      </c>
      <c r="J4" s="34" t="s">
        <v>117</v>
      </c>
      <c r="K4" s="34" t="s">
        <v>118</v>
      </c>
      <c r="L4" s="34" t="s">
        <v>78</v>
      </c>
      <c r="M4" s="34" t="s">
        <v>83</v>
      </c>
      <c r="N4" s="34" t="s">
        <v>80</v>
      </c>
    </row>
    <row r="5" spans="1:14">
      <c r="A5" s="34" t="s">
        <v>120</v>
      </c>
      <c r="B5" s="35">
        <v>9037</v>
      </c>
      <c r="C5" s="34">
        <v>128493.81</v>
      </c>
      <c r="D5" s="34">
        <v>45557</v>
      </c>
      <c r="E5" s="36">
        <v>10878</v>
      </c>
      <c r="F5" s="37">
        <v>17653</v>
      </c>
      <c r="G5" s="34"/>
      <c r="I5" s="34" t="s">
        <v>121</v>
      </c>
      <c r="J5" s="34">
        <v>1828.6000000000001</v>
      </c>
      <c r="K5" s="34">
        <v>-50228.231</v>
      </c>
      <c r="L5" s="34">
        <v>2346.6999999999998</v>
      </c>
      <c r="M5" s="34">
        <v>3978.8</v>
      </c>
      <c r="N5" s="34">
        <v>3695.6</v>
      </c>
    </row>
    <row r="6" spans="1:14">
      <c r="A6" s="34" t="s">
        <v>122</v>
      </c>
      <c r="B6" s="34">
        <v>5328</v>
      </c>
      <c r="C6" s="34">
        <v>302400</v>
      </c>
      <c r="D6" s="34">
        <v>36318.9</v>
      </c>
      <c r="E6" s="34">
        <v>7067</v>
      </c>
      <c r="F6" s="34">
        <v>6213.0999999999995</v>
      </c>
      <c r="G6" s="34"/>
      <c r="I6" s="34" t="s">
        <v>29</v>
      </c>
      <c r="J6" s="34">
        <v>864.5</v>
      </c>
      <c r="K6" s="34">
        <v>160.69999999999999</v>
      </c>
      <c r="L6" s="34">
        <v>528.1</v>
      </c>
      <c r="M6" s="34">
        <v>1695.367</v>
      </c>
      <c r="N6" s="34">
        <v>0</v>
      </c>
    </row>
    <row r="7" spans="1:14">
      <c r="A7" s="38" t="s">
        <v>123</v>
      </c>
      <c r="B7" s="39">
        <f t="shared" ref="B7:G7" si="0">((B5/B6)^(1/3)-1)</f>
        <v>0.19257771232746146</v>
      </c>
      <c r="C7" s="39">
        <f t="shared" si="0"/>
        <v>-0.24820377622688949</v>
      </c>
      <c r="D7" s="39">
        <f t="shared" si="0"/>
        <v>7.8468530441894391E-2</v>
      </c>
      <c r="E7" s="39">
        <f t="shared" si="0"/>
        <v>0.15461710681809615</v>
      </c>
      <c r="F7" s="39">
        <f t="shared" si="0"/>
        <v>0.41634827902293581</v>
      </c>
      <c r="G7" s="39" t="e">
        <f t="shared" si="0"/>
        <v>#DIV/0!</v>
      </c>
      <c r="I7" s="34" t="s">
        <v>30</v>
      </c>
      <c r="J7" s="34">
        <v>1055.1000000000001</v>
      </c>
      <c r="K7" s="34">
        <v>82290.899999999994</v>
      </c>
      <c r="L7" s="34">
        <v>2391.3999999999996</v>
      </c>
      <c r="M7" s="34">
        <v>314.10000000000002</v>
      </c>
      <c r="N7" s="34">
        <v>21</v>
      </c>
    </row>
    <row r="8" spans="1:14">
      <c r="A8" s="34"/>
      <c r="B8" s="40"/>
      <c r="C8" s="34"/>
      <c r="D8" s="34"/>
      <c r="E8" s="34"/>
      <c r="F8" s="34"/>
      <c r="G8" s="34"/>
      <c r="I8" s="38" t="s">
        <v>31</v>
      </c>
      <c r="J8" s="38">
        <f>J6+J7</f>
        <v>1919.6000000000001</v>
      </c>
      <c r="K8" s="38">
        <f>K6+K7</f>
        <v>82451.599999999991</v>
      </c>
      <c r="L8" s="38">
        <f>L6+L7</f>
        <v>2919.4999999999995</v>
      </c>
      <c r="M8" s="38">
        <f>M6+M7</f>
        <v>2009.4670000000001</v>
      </c>
      <c r="N8" s="38">
        <f>N6+N7</f>
        <v>21</v>
      </c>
    </row>
    <row r="9" spans="1:14">
      <c r="A9" s="34" t="s">
        <v>124</v>
      </c>
      <c r="B9" s="41">
        <v>7124</v>
      </c>
      <c r="C9" s="34">
        <v>113243</v>
      </c>
      <c r="D9" s="34">
        <v>43251.6</v>
      </c>
      <c r="E9" s="34">
        <v>6020.4</v>
      </c>
      <c r="F9" s="34">
        <v>6854.8</v>
      </c>
      <c r="G9" s="34"/>
      <c r="I9" s="38" t="s">
        <v>32</v>
      </c>
      <c r="J9" s="38">
        <f>(J10+J11-J17-J7)</f>
        <v>1768.3999999999999</v>
      </c>
      <c r="K9" s="38">
        <f>(K10+K11-K17-K7)</f>
        <v>-132135.29999999999</v>
      </c>
      <c r="L9" s="38">
        <f>(L10+L11-L17-L7)</f>
        <v>522.70000000000073</v>
      </c>
      <c r="M9" s="38">
        <f>(M10+M11-M17-M7)</f>
        <v>5636.3</v>
      </c>
      <c r="N9" s="38">
        <f>(N10+N11-N17-N7)</f>
        <v>3851.2999999999993</v>
      </c>
    </row>
    <row r="10" spans="1:14">
      <c r="A10" s="34" t="s">
        <v>125</v>
      </c>
      <c r="B10" s="34">
        <v>-78.899999999999991</v>
      </c>
      <c r="C10" s="34">
        <v>778.19999999999993</v>
      </c>
      <c r="D10" s="34">
        <v>-760.19999999999993</v>
      </c>
      <c r="E10" s="34">
        <v>-30</v>
      </c>
      <c r="F10" s="34">
        <v>70</v>
      </c>
      <c r="G10" s="34"/>
      <c r="I10" s="34" t="s">
        <v>126</v>
      </c>
      <c r="J10" s="34">
        <v>1668.5</v>
      </c>
      <c r="K10" s="34">
        <v>54181.7</v>
      </c>
      <c r="L10" s="34">
        <v>2395.4</v>
      </c>
      <c r="M10" s="34">
        <v>6175.7000000000007</v>
      </c>
      <c r="N10" s="34">
        <v>1797.7</v>
      </c>
    </row>
    <row r="11" spans="1:14">
      <c r="A11" s="34"/>
      <c r="B11" s="34"/>
      <c r="C11" s="34"/>
      <c r="D11" s="34"/>
      <c r="E11" s="34"/>
      <c r="F11" s="34"/>
      <c r="G11" s="34"/>
      <c r="I11" s="34" t="s">
        <v>127</v>
      </c>
      <c r="J11" s="34">
        <v>3934.1000000000004</v>
      </c>
      <c r="K11" s="34">
        <v>25458.899999999998</v>
      </c>
      <c r="L11" s="34">
        <v>10613.900000000001</v>
      </c>
      <c r="M11" s="34">
        <v>1516.2</v>
      </c>
      <c r="N11" s="34">
        <v>2813.8999999999996</v>
      </c>
    </row>
    <row r="12" spans="1:14">
      <c r="A12" s="38" t="s">
        <v>128</v>
      </c>
      <c r="B12" s="38">
        <f t="shared" ref="B12:G12" si="1">(B22+B16+B17)</f>
        <v>811</v>
      </c>
      <c r="C12" s="38">
        <f t="shared" si="1"/>
        <v>1927.6689999999999</v>
      </c>
      <c r="D12" s="38">
        <f t="shared" si="1"/>
        <v>1276</v>
      </c>
      <c r="E12" s="38">
        <f t="shared" si="1"/>
        <v>953.2</v>
      </c>
      <c r="F12" s="38">
        <f t="shared" si="1"/>
        <v>577.6</v>
      </c>
      <c r="G12" s="38">
        <f t="shared" si="1"/>
        <v>0</v>
      </c>
      <c r="I12" s="34" t="s">
        <v>129</v>
      </c>
      <c r="J12" s="34">
        <v>2662.3</v>
      </c>
      <c r="K12" s="34">
        <v>12618</v>
      </c>
      <c r="L12" s="34">
        <v>4726.8</v>
      </c>
      <c r="M12" s="34">
        <v>777.69999999999993</v>
      </c>
      <c r="N12" s="34">
        <v>653.40000000000009</v>
      </c>
    </row>
    <row r="13" spans="1:14">
      <c r="A13" s="38" t="s">
        <v>130</v>
      </c>
      <c r="B13" s="38">
        <f t="shared" ref="B13:G13" si="2">(B23+B19+B20)</f>
        <v>305</v>
      </c>
      <c r="C13" s="38">
        <f t="shared" si="2"/>
        <v>2155</v>
      </c>
      <c r="D13" s="38">
        <f t="shared" si="2"/>
        <v>879.1</v>
      </c>
      <c r="E13" s="38">
        <f t="shared" si="2"/>
        <v>737.3</v>
      </c>
      <c r="F13" s="38">
        <f t="shared" si="2"/>
        <v>591.80000000000007</v>
      </c>
      <c r="G13" s="38">
        <f t="shared" si="2"/>
        <v>0</v>
      </c>
      <c r="I13" s="34" t="s">
        <v>131</v>
      </c>
      <c r="J13" s="34">
        <v>2624.1000000000004</v>
      </c>
      <c r="K13" s="34">
        <v>11912.6</v>
      </c>
      <c r="L13" s="34">
        <v>4138.6000000000004</v>
      </c>
      <c r="M13" s="34">
        <v>603.80000000000007</v>
      </c>
      <c r="N13" s="34">
        <v>651.70000000000005</v>
      </c>
    </row>
    <row r="14" spans="1:14">
      <c r="A14" s="38" t="s">
        <v>123</v>
      </c>
      <c r="B14" s="39">
        <f t="shared" ref="B14:G14" si="3">((B12/B13)^(1/3)-1)</f>
        <v>0.38539517774912579</v>
      </c>
      <c r="C14" s="39">
        <f t="shared" si="3"/>
        <v>-3.6477790818822187E-2</v>
      </c>
      <c r="D14" s="39">
        <f t="shared" si="3"/>
        <v>0.13223731761990876</v>
      </c>
      <c r="E14" s="39">
        <f t="shared" si="3"/>
        <v>8.9381343213982722E-2</v>
      </c>
      <c r="F14" s="39">
        <f t="shared" si="3"/>
        <v>-8.0630353962740653E-3</v>
      </c>
      <c r="G14" s="39" t="e">
        <f t="shared" si="3"/>
        <v>#DIV/0!</v>
      </c>
      <c r="I14" s="34" t="s">
        <v>132</v>
      </c>
      <c r="J14" s="34">
        <v>616.1</v>
      </c>
      <c r="K14" s="34">
        <v>2641.1000000000004</v>
      </c>
      <c r="L14" s="34">
        <v>3382</v>
      </c>
      <c r="M14" s="34">
        <v>490.79999999999995</v>
      </c>
      <c r="N14" s="34">
        <v>585</v>
      </c>
    </row>
    <row r="15" spans="1:14">
      <c r="A15" s="34"/>
      <c r="B15" s="34"/>
      <c r="C15" s="34"/>
      <c r="D15" s="34"/>
      <c r="E15" s="34"/>
      <c r="F15" s="34"/>
      <c r="G15" s="34"/>
      <c r="I15" s="34" t="s">
        <v>133</v>
      </c>
      <c r="J15" s="34">
        <v>420.90000000000003</v>
      </c>
      <c r="K15" s="34">
        <v>2831.5</v>
      </c>
      <c r="L15" s="34">
        <v>3771.8</v>
      </c>
      <c r="M15" s="34">
        <v>483.5</v>
      </c>
      <c r="N15" s="34">
        <v>629.20000000000005</v>
      </c>
    </row>
    <row r="16" spans="1:14">
      <c r="A16" s="34" t="s">
        <v>134</v>
      </c>
      <c r="B16" s="34">
        <v>108</v>
      </c>
      <c r="C16" s="34">
        <v>1385.0329999999999</v>
      </c>
      <c r="D16" s="34">
        <v>298.29999999999995</v>
      </c>
      <c r="E16" s="34">
        <v>361.1</v>
      </c>
      <c r="F16" s="34">
        <v>187.10000000000002</v>
      </c>
      <c r="G16" s="34"/>
      <c r="I16" s="34" t="s">
        <v>34</v>
      </c>
      <c r="J16" s="34">
        <v>135</v>
      </c>
      <c r="K16" s="34">
        <v>1591.2</v>
      </c>
      <c r="L16" s="34">
        <v>168.9</v>
      </c>
      <c r="M16" s="34">
        <v>16</v>
      </c>
      <c r="N16" s="34">
        <v>448.29999999999995</v>
      </c>
    </row>
    <row r="17" spans="1:14">
      <c r="A17" s="34" t="s">
        <v>135</v>
      </c>
      <c r="B17" s="34">
        <v>186</v>
      </c>
      <c r="C17" s="34">
        <v>1422.0360000000001</v>
      </c>
      <c r="D17" s="34">
        <v>837.09999999999991</v>
      </c>
      <c r="E17" s="34">
        <v>263</v>
      </c>
      <c r="F17" s="34">
        <v>29.6</v>
      </c>
      <c r="G17" s="34"/>
      <c r="I17" s="34" t="s">
        <v>136</v>
      </c>
      <c r="J17" s="34">
        <v>2779.1000000000004</v>
      </c>
      <c r="K17" s="34">
        <v>129485</v>
      </c>
      <c r="L17" s="34">
        <v>10095.200000000001</v>
      </c>
      <c r="M17" s="34">
        <v>1741.5</v>
      </c>
      <c r="N17" s="34">
        <v>739.30000000000007</v>
      </c>
    </row>
    <row r="18" spans="1:14">
      <c r="A18" s="34"/>
      <c r="B18" s="34"/>
      <c r="C18" s="34"/>
      <c r="D18" s="34"/>
      <c r="E18" s="34"/>
      <c r="F18" s="34"/>
      <c r="G18" s="34"/>
      <c r="I18" s="34" t="s">
        <v>137</v>
      </c>
      <c r="J18" s="34">
        <v>1520.1</v>
      </c>
      <c r="K18" s="34">
        <v>18690</v>
      </c>
      <c r="L18" s="34">
        <v>7281.5999999999995</v>
      </c>
      <c r="M18" s="34">
        <v>946.5</v>
      </c>
      <c r="N18" s="34">
        <v>368.5</v>
      </c>
    </row>
    <row r="19" spans="1:14">
      <c r="A19" s="34" t="s">
        <v>138</v>
      </c>
      <c r="B19" s="34">
        <v>77</v>
      </c>
      <c r="C19" s="34">
        <v>1666</v>
      </c>
      <c r="D19" s="34">
        <v>152.10000000000002</v>
      </c>
      <c r="E19" s="34">
        <v>421.59999999999997</v>
      </c>
      <c r="F19" s="34">
        <v>217</v>
      </c>
      <c r="G19" s="34"/>
      <c r="I19" s="34" t="s">
        <v>139</v>
      </c>
      <c r="J19" s="34">
        <v>1011.1</v>
      </c>
      <c r="K19" s="34">
        <v>25440</v>
      </c>
      <c r="L19" s="34">
        <v>7043.0999999999995</v>
      </c>
      <c r="M19" s="34">
        <v>964.7</v>
      </c>
      <c r="N19" s="34">
        <v>388.2</v>
      </c>
    </row>
    <row r="20" spans="1:14">
      <c r="A20" s="34" t="s">
        <v>140</v>
      </c>
      <c r="B20" s="34">
        <v>140</v>
      </c>
      <c r="C20" s="34">
        <v>14380</v>
      </c>
      <c r="D20" s="34">
        <v>580.4</v>
      </c>
      <c r="E20" s="34">
        <v>168.5</v>
      </c>
      <c r="F20" s="34">
        <v>13.600000000000001</v>
      </c>
      <c r="G20" s="34"/>
      <c r="I20" s="38" t="s">
        <v>36</v>
      </c>
      <c r="J20" s="38">
        <f>J11-J17</f>
        <v>1155</v>
      </c>
      <c r="K20" s="38">
        <f>K11-K17</f>
        <v>-104026.1</v>
      </c>
      <c r="L20" s="38">
        <f>L11-L17</f>
        <v>518.70000000000073</v>
      </c>
      <c r="M20" s="38">
        <f>M11-M17</f>
        <v>-225.29999999999995</v>
      </c>
      <c r="N20" s="38">
        <f>N11-N17</f>
        <v>2074.5999999999995</v>
      </c>
    </row>
    <row r="21" spans="1:14">
      <c r="A21" s="34"/>
      <c r="B21" s="34"/>
      <c r="C21" s="34"/>
      <c r="D21" s="34"/>
      <c r="E21" s="34"/>
      <c r="F21" s="34"/>
      <c r="G21" s="34"/>
    </row>
    <row r="22" spans="1:14">
      <c r="A22" s="34" t="s">
        <v>141</v>
      </c>
      <c r="B22" s="34">
        <v>517</v>
      </c>
      <c r="C22" s="34">
        <v>-879.4</v>
      </c>
      <c r="D22" s="34">
        <v>140.6</v>
      </c>
      <c r="E22" s="34">
        <v>329.09999999999997</v>
      </c>
      <c r="F22" s="34">
        <v>360.90000000000003</v>
      </c>
      <c r="G22" s="34"/>
    </row>
    <row r="23" spans="1:14">
      <c r="A23" s="34" t="s">
        <v>142</v>
      </c>
      <c r="B23" s="34">
        <v>88</v>
      </c>
      <c r="C23" s="34">
        <v>-13891</v>
      </c>
      <c r="D23" s="34">
        <v>146.6</v>
      </c>
      <c r="E23" s="34">
        <v>147.20000000000002</v>
      </c>
      <c r="F23" s="34">
        <v>361.2</v>
      </c>
      <c r="G23" s="34"/>
    </row>
    <row r="24" spans="1:14">
      <c r="A24" s="34"/>
      <c r="B24" s="34"/>
      <c r="C24" s="34"/>
      <c r="D24" s="34"/>
      <c r="E24" s="34"/>
      <c r="F24" s="34"/>
      <c r="G24" s="34"/>
    </row>
    <row r="25" spans="1:14">
      <c r="A25" s="34" t="s">
        <v>143</v>
      </c>
      <c r="B25" s="34">
        <v>412.70000000000005</v>
      </c>
      <c r="C25" s="34">
        <v>-879.7</v>
      </c>
      <c r="D25" s="34">
        <v>108.80000000000001</v>
      </c>
      <c r="E25" s="34">
        <v>237.10000000000002</v>
      </c>
      <c r="F25" s="34">
        <v>313.60000000000002</v>
      </c>
      <c r="G25" s="34"/>
      <c r="I25" s="34" t="s">
        <v>37</v>
      </c>
      <c r="J25" s="34"/>
      <c r="K25" s="34"/>
      <c r="L25" s="34"/>
      <c r="M25" s="34"/>
      <c r="N25" s="34"/>
    </row>
    <row r="26" spans="1:14">
      <c r="A26" s="34" t="s">
        <v>144</v>
      </c>
      <c r="B26" s="34">
        <v>65.3</v>
      </c>
      <c r="C26" s="34">
        <v>-12676.6</v>
      </c>
      <c r="D26" s="34">
        <v>94.1</v>
      </c>
      <c r="E26" s="34">
        <v>125.39999999999999</v>
      </c>
      <c r="F26" s="34">
        <v>293.29999999999995</v>
      </c>
      <c r="G26" s="34"/>
      <c r="I26" s="34" t="s">
        <v>58</v>
      </c>
      <c r="J26" s="42">
        <v>17433000</v>
      </c>
      <c r="K26" s="42">
        <v>334100722</v>
      </c>
      <c r="L26" s="43">
        <v>131895000</v>
      </c>
      <c r="M26" s="42">
        <v>28799268</v>
      </c>
      <c r="N26" s="42">
        <v>9367111</v>
      </c>
    </row>
    <row r="27" spans="1:14">
      <c r="A27" s="38" t="s">
        <v>123</v>
      </c>
      <c r="B27" s="39">
        <f t="shared" ref="B27:G27" si="4">((B25/B26)^(1/3)-1)</f>
        <v>0.84887306635383486</v>
      </c>
      <c r="C27" s="39">
        <f t="shared" si="4"/>
        <v>-0.58906108643391231</v>
      </c>
      <c r="D27" s="39">
        <f t="shared" si="4"/>
        <v>4.9574064777008431E-2</v>
      </c>
      <c r="E27" s="39">
        <f t="shared" si="4"/>
        <v>0.23654902446034831</v>
      </c>
      <c r="F27" s="39">
        <f t="shared" si="4"/>
        <v>2.2558108856564729E-2</v>
      </c>
      <c r="G27" s="39" t="e">
        <f t="shared" si="4"/>
        <v>#DIV/0!</v>
      </c>
      <c r="I27" s="34" t="s">
        <v>59</v>
      </c>
      <c r="J27" s="38">
        <f>J26*J31/1000000</f>
        <v>1725.867</v>
      </c>
      <c r="K27" s="38">
        <f>K26*K31/1000000</f>
        <v>2261.8618879400001</v>
      </c>
      <c r="L27" s="38">
        <f>L26*L31/1000000</f>
        <v>1503.6030000000001</v>
      </c>
      <c r="M27" s="38">
        <f>M26*M31/1000000</f>
        <v>4031.89752</v>
      </c>
      <c r="N27" s="38">
        <f>N26*N31/1000000</f>
        <v>4599.2515009999997</v>
      </c>
    </row>
    <row r="28" spans="1:14">
      <c r="A28" s="34"/>
      <c r="B28" s="34"/>
      <c r="C28" s="34"/>
      <c r="D28" s="34"/>
      <c r="E28" s="34"/>
      <c r="F28" s="34"/>
      <c r="G28" s="34"/>
      <c r="I28" s="34" t="s">
        <v>62</v>
      </c>
      <c r="J28" s="38">
        <f>J8</f>
        <v>1919.6000000000001</v>
      </c>
      <c r="K28" s="38">
        <f>K8</f>
        <v>82451.599999999991</v>
      </c>
      <c r="L28" s="38">
        <f>L8</f>
        <v>2919.4999999999995</v>
      </c>
      <c r="M28" s="38">
        <f>M8</f>
        <v>2009.4670000000001</v>
      </c>
      <c r="N28" s="38">
        <f>N8</f>
        <v>21</v>
      </c>
    </row>
    <row r="29" spans="1:14">
      <c r="A29" s="34" t="s">
        <v>145</v>
      </c>
      <c r="B29" s="34">
        <v>24.55</v>
      </c>
      <c r="C29" s="34">
        <v>-0.32</v>
      </c>
      <c r="D29" s="34">
        <v>0.83</v>
      </c>
      <c r="E29" s="34">
        <v>8.26</v>
      </c>
      <c r="F29" s="34">
        <v>33.479999999999997</v>
      </c>
      <c r="G29" s="34"/>
      <c r="I29" s="34" t="s">
        <v>60</v>
      </c>
      <c r="J29" s="38">
        <f>J16</f>
        <v>135</v>
      </c>
      <c r="K29" s="38">
        <f>K16</f>
        <v>1591.2</v>
      </c>
      <c r="L29" s="38">
        <f>L16</f>
        <v>168.9</v>
      </c>
      <c r="M29" s="38">
        <f>M16</f>
        <v>16</v>
      </c>
      <c r="N29" s="38">
        <f>N16</f>
        <v>448.29999999999995</v>
      </c>
    </row>
    <row r="30" spans="1:14">
      <c r="I30" s="34" t="s">
        <v>61</v>
      </c>
      <c r="J30" s="18">
        <f>J27+J28-J29</f>
        <v>3510.4670000000001</v>
      </c>
      <c r="K30" s="18">
        <f>K27+K28-K29</f>
        <v>83122.261887939996</v>
      </c>
      <c r="L30" s="18">
        <f>L27+L28-L29</f>
        <v>4254.2029999999995</v>
      </c>
      <c r="M30" s="18">
        <f>M27+M28-M29</f>
        <v>6025.3645200000001</v>
      </c>
      <c r="N30" s="18">
        <f>N27+N28-N29</f>
        <v>4171.9515009999996</v>
      </c>
    </row>
    <row r="31" spans="1:14">
      <c r="I31" s="34" t="s">
        <v>39</v>
      </c>
      <c r="J31" s="34">
        <v>99</v>
      </c>
      <c r="K31" s="34">
        <v>6.77</v>
      </c>
      <c r="L31" s="34">
        <v>11.4</v>
      </c>
      <c r="M31" s="34">
        <v>140</v>
      </c>
      <c r="N31" s="34">
        <v>491</v>
      </c>
    </row>
    <row r="32" spans="1:14">
      <c r="I32" s="34" t="s">
        <v>40</v>
      </c>
      <c r="J32" s="38">
        <f>B29</f>
        <v>24.55</v>
      </c>
      <c r="K32" s="38">
        <f>C29</f>
        <v>-0.32</v>
      </c>
      <c r="L32" s="38">
        <f>D29</f>
        <v>0.83</v>
      </c>
      <c r="M32" s="38">
        <f>E29</f>
        <v>8.26</v>
      </c>
      <c r="N32" s="38">
        <f>F29</f>
        <v>33.479999999999997</v>
      </c>
    </row>
    <row r="33" spans="9:14">
      <c r="I33" s="34" t="s">
        <v>41</v>
      </c>
      <c r="J33" s="44">
        <f>J31*1000000/J26</f>
        <v>5.678884873515746</v>
      </c>
      <c r="K33" s="44">
        <f>K31*1000000/K26</f>
        <v>2.026335040365462E-2</v>
      </c>
      <c r="L33" s="44">
        <f>L31*1000000/L26</f>
        <v>8.6432389400659615E-2</v>
      </c>
      <c r="M33" s="44">
        <f>M31*1000000/M26</f>
        <v>4.8612346674922433</v>
      </c>
      <c r="N33" s="44">
        <f>N31*1000000/N26</f>
        <v>52.41744226154681</v>
      </c>
    </row>
    <row r="34" spans="9:14">
      <c r="I34" s="34" t="s">
        <v>43</v>
      </c>
      <c r="J34" s="44">
        <f>J31/J32</f>
        <v>4.0325865580448061</v>
      </c>
      <c r="K34" s="44">
        <f>K31/K32</f>
        <v>-21.15625</v>
      </c>
      <c r="L34" s="44">
        <f>L31/L32</f>
        <v>13.734939759036145</v>
      </c>
      <c r="M34" s="44">
        <f>M31/M32</f>
        <v>16.949152542372882</v>
      </c>
      <c r="N34" s="44">
        <f>N31/N32</f>
        <v>14.66547192353644</v>
      </c>
    </row>
    <row r="35" spans="9:14">
      <c r="I35" s="34" t="s">
        <v>44</v>
      </c>
      <c r="J35" s="45">
        <f>J31/J33</f>
        <v>17.433</v>
      </c>
      <c r="K35" s="45">
        <f>K31/K33</f>
        <v>334.10072199999996</v>
      </c>
      <c r="L35" s="45">
        <f>L31/L33</f>
        <v>131.89500000000001</v>
      </c>
      <c r="M35" s="45">
        <f>M31/M33</f>
        <v>28.799267999999998</v>
      </c>
      <c r="N35" s="45">
        <f>N31/N33</f>
        <v>9.3671109999999995</v>
      </c>
    </row>
    <row r="36" spans="9:14">
      <c r="I36" s="34" t="s">
        <v>45</v>
      </c>
      <c r="J36" s="44">
        <f>J30/B12</f>
        <v>4.3285659679408139</v>
      </c>
      <c r="K36" s="44">
        <f>K30/C12</f>
        <v>43.120609341095388</v>
      </c>
      <c r="L36" s="44">
        <f>L30/D12</f>
        <v>3.3340148902821314</v>
      </c>
      <c r="M36" s="44">
        <f>M30/E12</f>
        <v>6.3211965169953839</v>
      </c>
      <c r="N36" s="44">
        <f>N30/F12</f>
        <v>7.2229077233379488</v>
      </c>
    </row>
    <row r="37" spans="9:14">
      <c r="I37" s="34" t="s">
        <v>46</v>
      </c>
      <c r="J37" s="46">
        <f>B25/J5</f>
        <v>0.22569178606584273</v>
      </c>
      <c r="K37" s="46">
        <f>C25/K5</f>
        <v>1.7514054994291955E-2</v>
      </c>
      <c r="L37" s="46">
        <f>D25/L5</f>
        <v>4.6362977798610823E-2</v>
      </c>
      <c r="M37" s="46">
        <f>E25/M5</f>
        <v>5.9590831406454207E-2</v>
      </c>
      <c r="N37" s="46">
        <f>F25/N5</f>
        <v>8.4857668578850534E-2</v>
      </c>
    </row>
    <row r="38" spans="9:14">
      <c r="I38" s="34" t="s">
        <v>47</v>
      </c>
      <c r="J38" s="46">
        <f>(B22+B20)/J9</f>
        <v>0.37152228002714321</v>
      </c>
      <c r="K38" s="46">
        <f>(C22+C20)/K9</f>
        <v>-0.10217254586775829</v>
      </c>
      <c r="L38" s="46">
        <f>(D22+D17)/L9</f>
        <v>1.8704801989669</v>
      </c>
      <c r="M38" s="46">
        <f>(E22+E20)/M9</f>
        <v>8.828486773237762E-2</v>
      </c>
      <c r="N38" s="46">
        <f>(F22+F20)/N9</f>
        <v>9.7239893023135085E-2</v>
      </c>
    </row>
    <row r="39" spans="9:14">
      <c r="I39" s="34" t="s">
        <v>48</v>
      </c>
      <c r="J39" s="44">
        <f>J8/J5</f>
        <v>1.0497648474242589</v>
      </c>
      <c r="K39" s="44">
        <f>K8/K5</f>
        <v>-1.6415389982577724</v>
      </c>
      <c r="L39" s="44">
        <f>L8/L5</f>
        <v>1.2440874419397452</v>
      </c>
      <c r="M39" s="44">
        <f>M8/M5</f>
        <v>0.50504348044636571</v>
      </c>
      <c r="N39" s="44">
        <f>N8/N5</f>
        <v>5.6824331637623125E-3</v>
      </c>
    </row>
    <row r="40" spans="9:14">
      <c r="I40" s="34" t="s">
        <v>49</v>
      </c>
      <c r="J40" s="44">
        <f>(J8-J16)/J5</f>
        <v>0.97593787597068793</v>
      </c>
      <c r="K40" s="44">
        <f>(K8-K16)/K5</f>
        <v>-1.6098596026605037</v>
      </c>
      <c r="L40" s="44">
        <f>(L8-L16)/L5</f>
        <v>1.1721140324711294</v>
      </c>
      <c r="M40" s="44">
        <f>(M8-M16)/M5</f>
        <v>0.50102216748768469</v>
      </c>
      <c r="N40" s="44">
        <f>(N8-N16)/N5</f>
        <v>-0.11562398527979217</v>
      </c>
    </row>
    <row r="41" spans="9:14">
      <c r="I41" s="34" t="s">
        <v>146</v>
      </c>
      <c r="J41" s="34">
        <v>1.2</v>
      </c>
      <c r="K41" s="34">
        <v>0</v>
      </c>
      <c r="L41" s="34">
        <v>0</v>
      </c>
      <c r="M41" s="34">
        <v>0</v>
      </c>
      <c r="N41" s="34">
        <v>0</v>
      </c>
    </row>
    <row r="42" spans="9:14">
      <c r="I42" s="34" t="s">
        <v>50</v>
      </c>
      <c r="J42" s="38">
        <f>J41/J31</f>
        <v>1.2121212121212121E-2</v>
      </c>
      <c r="K42" s="38">
        <f>K41/K31</f>
        <v>0</v>
      </c>
      <c r="L42" s="38">
        <f>L41/L31</f>
        <v>0</v>
      </c>
      <c r="M42" s="38">
        <f>M41/M31</f>
        <v>0</v>
      </c>
      <c r="N42" s="38">
        <f>N41/N31</f>
        <v>0</v>
      </c>
    </row>
    <row r="43" spans="9:14">
      <c r="I43" s="34" t="s">
        <v>51</v>
      </c>
      <c r="J43" s="47">
        <f>AVERAGE(J14:J15)/B5*365</f>
        <v>20.941960827708311</v>
      </c>
      <c r="K43" s="47">
        <f>AVERAGE(K14:K15)/C5*365</f>
        <v>7.7727440722630927</v>
      </c>
      <c r="L43" s="47">
        <f>AVERAGE(L14:L15)/D5*365</f>
        <v>28.657912066202783</v>
      </c>
      <c r="M43" s="47">
        <f>AVERAGE(M14:M15)/E5*365</f>
        <v>16.345812649384079</v>
      </c>
      <c r="N43" s="47">
        <f>AVERAGE(N14:N15)/F5*365</f>
        <v>12.552625616042599</v>
      </c>
    </row>
    <row r="44" spans="9:14">
      <c r="I44" s="34" t="s">
        <v>52</v>
      </c>
      <c r="J44" s="47">
        <f>AVERAGE(J18:J19)/B9*365</f>
        <v>64.843346434587303</v>
      </c>
      <c r="K44" s="47">
        <f>AVERAGE(K18:K19)/C9*365</f>
        <v>71.118965410665552</v>
      </c>
      <c r="L44" s="47">
        <f>AVERAGE(L18:L19)/D9*365</f>
        <v>60.443029853230854</v>
      </c>
      <c r="M44" s="47">
        <f>AVERAGE(M18:M19)/E9*365</f>
        <v>57.935353132682216</v>
      </c>
      <c r="N44" s="47">
        <f>AVERAGE(N18:N19)/F9*365</f>
        <v>20.146138472311375</v>
      </c>
    </row>
    <row r="45" spans="9:14">
      <c r="I45" s="34" t="s">
        <v>53</v>
      </c>
      <c r="J45" s="47">
        <f>AVERAGE(J12:J13)/(B9+B10)*365</f>
        <v>136.94170416317723</v>
      </c>
      <c r="K45" s="47">
        <f>AVERAGE(K12:K13)/(C9+C10)*365</f>
        <v>39.263176497002313</v>
      </c>
      <c r="L45" s="47">
        <f>AVERAGE(L12:L13)/(D9+D10)*365</f>
        <v>38.07677553575548</v>
      </c>
      <c r="M45" s="47">
        <f>AVERAGE(M12:M13)/(E9+E10)*365</f>
        <v>42.087965745192307</v>
      </c>
      <c r="N45" s="47">
        <f>AVERAGE(N12:N13)/(F9+F10)*365</f>
        <v>34.395325496765253</v>
      </c>
    </row>
    <row r="46" spans="9:14">
      <c r="I46" s="34" t="s">
        <v>65</v>
      </c>
      <c r="J46" s="47">
        <f>J43+J45-J44</f>
        <v>93.040318556298232</v>
      </c>
      <c r="K46" s="47">
        <f>K43+K45-K44</f>
        <v>-24.083044841400145</v>
      </c>
      <c r="L46" s="47">
        <f>L43+L45-L44</f>
        <v>6.2916577487274026</v>
      </c>
      <c r="M46" s="47">
        <f>M43+M45-M44</f>
        <v>0.49842526189416958</v>
      </c>
      <c r="N46" s="47">
        <f>N43+N45-N44</f>
        <v>26.801812640496475</v>
      </c>
    </row>
    <row r="47" spans="9:14">
      <c r="I47" s="34" t="s">
        <v>54</v>
      </c>
      <c r="J47" s="47">
        <f>J20/B5*365</f>
        <v>46.649883810999228</v>
      </c>
      <c r="K47" s="47">
        <f>K20/C5*365</f>
        <v>-295.49693094165394</v>
      </c>
      <c r="L47" s="47">
        <f>L20/D5*365</f>
        <v>4.1557938406831063</v>
      </c>
      <c r="M47" s="47">
        <f>M20/E5*365</f>
        <v>-7.5597076668505228</v>
      </c>
      <c r="N47" s="47">
        <f>N20/F5*365</f>
        <v>42.895201948677268</v>
      </c>
    </row>
    <row r="48" spans="9:14">
      <c r="I48" s="34" t="s">
        <v>66</v>
      </c>
      <c r="J48" s="39">
        <f>B17/J8</f>
        <v>9.6895186497186911E-2</v>
      </c>
      <c r="K48" s="39">
        <f>C17/K8</f>
        <v>1.7246918192005981E-2</v>
      </c>
      <c r="L48" s="39">
        <f>D17/L8</f>
        <v>0.28672717931152597</v>
      </c>
      <c r="M48" s="39">
        <f>E17/M8</f>
        <v>0.13088047726088559</v>
      </c>
      <c r="N48" s="39">
        <f>F17/N8</f>
        <v>1.4095238095238096</v>
      </c>
    </row>
    <row r="49" spans="9:14">
      <c r="I49" s="34" t="s">
        <v>147</v>
      </c>
      <c r="J49" s="44">
        <f>J10/B5</f>
        <v>0.18462985504038951</v>
      </c>
      <c r="K49" s="44">
        <f>K10/C5</f>
        <v>0.42166778306285724</v>
      </c>
      <c r="L49" s="44">
        <f>L10/D5</f>
        <v>5.2580284039774348E-2</v>
      </c>
      <c r="M49" s="44">
        <f>M10/E5</f>
        <v>0.56772384629527495</v>
      </c>
      <c r="N49" s="44">
        <f>N10/F5</f>
        <v>0.10183538208803036</v>
      </c>
    </row>
    <row r="50" spans="9:14">
      <c r="I50" s="34" t="s">
        <v>148</v>
      </c>
      <c r="J50" s="44">
        <f>(B22+B17)/B17</f>
        <v>3.7795698924731185</v>
      </c>
      <c r="K50" s="44">
        <f>(C22+C17)/C17</f>
        <v>0.38159090205873836</v>
      </c>
      <c r="L50" s="44">
        <f>(D22+D17)/D17</f>
        <v>1.1679608171066778</v>
      </c>
      <c r="M50" s="44">
        <f>(E22+E17)/E17</f>
        <v>2.2513307984790871</v>
      </c>
      <c r="N50" s="44">
        <f>(F22+F17)/F17</f>
        <v>13.192567567567568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2"/>
  <sheetViews>
    <sheetView topLeftCell="A2" workbookViewId="0">
      <selection activeCell="G36" sqref="G36"/>
    </sheetView>
  </sheetViews>
  <sheetFormatPr defaultColWidth="9.140625" defaultRowHeight="15"/>
  <cols>
    <col min="1" max="1" width="19.42578125" customWidth="1"/>
    <col min="2" max="3" width="15.42578125" bestFit="1" customWidth="1"/>
    <col min="4" max="4" width="15.85546875" bestFit="1" customWidth="1"/>
    <col min="5" max="5" width="18.42578125" bestFit="1" customWidth="1"/>
  </cols>
  <sheetData>
    <row r="1" spans="1:10" hidden="1">
      <c r="A1" s="88" t="s">
        <v>76</v>
      </c>
      <c r="B1" s="89"/>
      <c r="C1" s="88"/>
      <c r="D1" s="88"/>
      <c r="E1" s="88"/>
    </row>
    <row r="2" spans="1:10">
      <c r="A2" s="90"/>
      <c r="B2" s="89" t="s">
        <v>170</v>
      </c>
      <c r="C2" s="90" t="s">
        <v>171</v>
      </c>
      <c r="D2" s="90" t="s">
        <v>172</v>
      </c>
      <c r="E2" s="90" t="s">
        <v>173</v>
      </c>
      <c r="G2" s="89" t="s">
        <v>176</v>
      </c>
      <c r="H2" s="90" t="s">
        <v>177</v>
      </c>
      <c r="I2" s="90" t="s">
        <v>178</v>
      </c>
      <c r="J2" s="90" t="s">
        <v>179</v>
      </c>
    </row>
    <row r="3" spans="1:10">
      <c r="A3" s="91" t="s">
        <v>168</v>
      </c>
      <c r="B3" s="89"/>
      <c r="C3" s="91"/>
      <c r="D3" s="91"/>
      <c r="E3" s="91"/>
    </row>
    <row r="4" spans="1:10">
      <c r="A4" s="91" t="s">
        <v>71</v>
      </c>
      <c r="B4" s="34"/>
      <c r="C4" s="92"/>
      <c r="D4" s="92"/>
      <c r="E4" s="92"/>
    </row>
    <row r="5" spans="1:10">
      <c r="A5" s="92" t="s">
        <v>113</v>
      </c>
      <c r="B5" s="93">
        <f>'Sheela Foam Income Statement'!C4</f>
        <v>21736.34</v>
      </c>
      <c r="C5" s="94">
        <v>13119.3</v>
      </c>
      <c r="D5" s="94">
        <v>9531</v>
      </c>
      <c r="E5" s="94">
        <v>6389</v>
      </c>
      <c r="G5">
        <f>'Sheela Foam Income Statement'!D4</f>
        <v>24371.9</v>
      </c>
      <c r="H5" s="117">
        <v>5459.58</v>
      </c>
      <c r="I5">
        <v>3299.6</v>
      </c>
      <c r="J5">
        <v>3163</v>
      </c>
    </row>
    <row r="6" spans="1:10">
      <c r="A6" s="92" t="s">
        <v>86</v>
      </c>
      <c r="B6" s="46">
        <f>'Sheela Foam Income Statement'!C8</f>
        <v>0</v>
      </c>
      <c r="C6" s="95">
        <v>0.17910000000000001</v>
      </c>
      <c r="D6" s="95">
        <v>8.8099999999999998E-2</v>
      </c>
      <c r="E6" s="95">
        <v>0.24299999999999999</v>
      </c>
    </row>
    <row r="7" spans="1:10">
      <c r="A7" s="91" t="s">
        <v>4</v>
      </c>
      <c r="B7" s="93">
        <f>'Sheela Foam Income Statement'!C25</f>
        <v>3004.1499999999978</v>
      </c>
      <c r="C7" s="96">
        <v>3726</v>
      </c>
      <c r="D7" s="96">
        <v>2729</v>
      </c>
      <c r="E7" s="96">
        <v>1689</v>
      </c>
      <c r="G7">
        <f>'Sheela Foam Income Statement'!D25</f>
        <v>3641.5430000000015</v>
      </c>
      <c r="H7" s="98">
        <v>1541</v>
      </c>
      <c r="I7">
        <v>822</v>
      </c>
      <c r="J7">
        <v>1550</v>
      </c>
    </row>
    <row r="8" spans="1:10">
      <c r="A8" s="92" t="s">
        <v>86</v>
      </c>
      <c r="B8" s="97">
        <f>'Sheela Foam Income Statement'!C27</f>
        <v>0</v>
      </c>
      <c r="C8" s="95"/>
      <c r="D8" s="95"/>
      <c r="E8" s="95"/>
    </row>
    <row r="9" spans="1:10">
      <c r="A9" s="91" t="s">
        <v>87</v>
      </c>
      <c r="B9" s="99">
        <f>'Sheela Foam Income Statement'!C28</f>
        <v>0.13820864046108949</v>
      </c>
      <c r="C9" s="100">
        <f>C7/C5</f>
        <v>0.28400905536118543</v>
      </c>
      <c r="D9" s="100">
        <f>D7/D5</f>
        <v>0.28632882173958663</v>
      </c>
      <c r="E9" s="100">
        <f>E7/E5</f>
        <v>0.26436061981530756</v>
      </c>
      <c r="G9" s="116" t="e">
        <f>'Sheela Foam Income Statement'!#REF!</f>
        <v>#REF!</v>
      </c>
      <c r="H9" s="116">
        <v>0.28220000000000001</v>
      </c>
      <c r="I9" s="116">
        <v>0.249</v>
      </c>
      <c r="J9" s="118">
        <v>0.49</v>
      </c>
    </row>
    <row r="10" spans="1:10">
      <c r="A10" s="91" t="s">
        <v>13</v>
      </c>
      <c r="B10" s="93">
        <f>'Sheela Foam Income Statement'!C37</f>
        <v>1942.8619999999971</v>
      </c>
      <c r="C10" s="94">
        <v>-2457</v>
      </c>
      <c r="D10" s="94">
        <v>2723</v>
      </c>
      <c r="E10" s="94">
        <v>1474</v>
      </c>
      <c r="G10">
        <f>'Sheela Foam Income Statement'!D37</f>
        <v>2419.8810000000012</v>
      </c>
      <c r="H10" s="117">
        <v>4216.92</v>
      </c>
      <c r="I10">
        <v>1306.5999999999999</v>
      </c>
      <c r="J10">
        <v>1439</v>
      </c>
    </row>
    <row r="11" spans="1:10">
      <c r="A11" s="92" t="s">
        <v>86</v>
      </c>
      <c r="B11" s="97">
        <f>'Sheela Foam Income Statement'!C43</f>
        <v>0</v>
      </c>
      <c r="C11" s="95">
        <v>6.2E-2</v>
      </c>
      <c r="D11" s="95">
        <v>0.37909999999999999</v>
      </c>
      <c r="E11" s="95">
        <v>0.42059999999999997</v>
      </c>
    </row>
    <row r="12" spans="1:10">
      <c r="A12" s="91" t="s">
        <v>88</v>
      </c>
      <c r="B12" s="101">
        <f>'Sheela Foam Income Statement'!C38</f>
        <v>8.9383125217952844E-2</v>
      </c>
      <c r="C12" s="102">
        <f>C10/C5</f>
        <v>-0.18728133360773822</v>
      </c>
      <c r="D12" s="102">
        <f>D10/D5</f>
        <v>0.28569929703074182</v>
      </c>
      <c r="E12" s="102">
        <f>E10/E5</f>
        <v>0.23070903114728439</v>
      </c>
      <c r="G12" s="116">
        <f>'Sheela Foam Income Statement'!D38</f>
        <v>9.9289796856215598E-2</v>
      </c>
      <c r="H12" s="116">
        <v>0.77239999999999998</v>
      </c>
      <c r="I12" s="116">
        <v>0.39600000000000002</v>
      </c>
      <c r="J12" s="116">
        <v>0.45490000000000003</v>
      </c>
    </row>
    <row r="13" spans="1:10" ht="15.75" thickBot="1">
      <c r="A13" s="92" t="s">
        <v>89</v>
      </c>
      <c r="B13" s="103">
        <f>'Sheela Foam Income Statement'!C44</f>
        <v>19.920000000000002</v>
      </c>
      <c r="C13" s="104">
        <v>-19</v>
      </c>
      <c r="D13" s="104">
        <v>42</v>
      </c>
      <c r="E13" s="104">
        <v>50.24</v>
      </c>
    </row>
    <row r="14" spans="1:10">
      <c r="A14" s="92"/>
      <c r="B14" s="34"/>
      <c r="C14" s="92"/>
      <c r="D14" s="92"/>
      <c r="E14" s="92"/>
    </row>
    <row r="15" spans="1:10">
      <c r="A15" s="92"/>
      <c r="B15" s="34"/>
      <c r="C15" s="92"/>
      <c r="D15" s="92"/>
      <c r="E15" s="92"/>
    </row>
    <row r="16" spans="1:10">
      <c r="A16" s="91" t="s">
        <v>90</v>
      </c>
      <c r="B16" s="34"/>
      <c r="C16" s="92"/>
      <c r="D16" s="92"/>
      <c r="E16" s="92"/>
    </row>
    <row r="17" spans="1:7">
      <c r="A17" s="91" t="s">
        <v>91</v>
      </c>
      <c r="B17" s="105">
        <f>'Sheela Foam Income Statement'!K7</f>
        <v>9264.1640000000007</v>
      </c>
      <c r="C17" s="96">
        <v>21955</v>
      </c>
      <c r="D17" s="96">
        <v>12877</v>
      </c>
      <c r="E17" s="96">
        <v>2751</v>
      </c>
      <c r="G17">
        <f>'Sheela Foam Income Statement'!L7</f>
        <v>11932.1</v>
      </c>
    </row>
    <row r="18" spans="1:7">
      <c r="A18" s="91" t="s">
        <v>62</v>
      </c>
      <c r="B18" s="34"/>
      <c r="C18" s="92"/>
      <c r="D18" s="92"/>
      <c r="E18" s="92"/>
    </row>
    <row r="19" spans="1:7">
      <c r="A19" s="92" t="s">
        <v>92</v>
      </c>
      <c r="B19" s="106">
        <f>'Sheela Foam Income Statement'!K9</f>
        <v>1571.3150000000001</v>
      </c>
      <c r="C19" s="96">
        <v>2.4</v>
      </c>
      <c r="D19" s="96">
        <v>0</v>
      </c>
      <c r="E19" s="96">
        <v>0</v>
      </c>
      <c r="G19" s="98">
        <v>0</v>
      </c>
    </row>
    <row r="20" spans="1:7">
      <c r="A20" s="92" t="s">
        <v>93</v>
      </c>
      <c r="B20" s="106">
        <f>'Sheela Foam Income Statement'!K10</f>
        <v>360.17700000000002</v>
      </c>
      <c r="C20" s="96">
        <v>0</v>
      </c>
      <c r="D20" s="96">
        <v>0</v>
      </c>
      <c r="E20" s="96">
        <v>0</v>
      </c>
      <c r="G20" s="98">
        <v>0</v>
      </c>
    </row>
    <row r="21" spans="1:7">
      <c r="A21" s="92"/>
      <c r="B21" s="34"/>
      <c r="C21" s="92"/>
      <c r="D21" s="92"/>
      <c r="E21" s="92"/>
    </row>
    <row r="22" spans="1:7">
      <c r="A22" s="92"/>
      <c r="B22" s="34"/>
      <c r="C22" s="92"/>
      <c r="D22" s="92"/>
      <c r="E22" s="92"/>
    </row>
    <row r="23" spans="1:7">
      <c r="A23" s="91" t="s">
        <v>16</v>
      </c>
      <c r="B23" s="34"/>
      <c r="C23" s="92"/>
      <c r="D23" s="92"/>
      <c r="E23" s="92"/>
    </row>
    <row r="24" spans="1:7">
      <c r="A24" s="92" t="s">
        <v>94</v>
      </c>
      <c r="B24" s="93">
        <f>'Sheela Foam Income Statement'!C59</f>
        <v>1635.36</v>
      </c>
      <c r="C24" s="96">
        <v>3501.7</v>
      </c>
      <c r="D24" s="96">
        <v>1529.4</v>
      </c>
      <c r="E24" s="96">
        <v>2605</v>
      </c>
      <c r="G24" s="119">
        <f>'Sheela Foam Income Statement'!D53</f>
        <v>2603.0439999999999</v>
      </c>
    </row>
    <row r="25" spans="1:7">
      <c r="A25" s="92" t="s">
        <v>23</v>
      </c>
      <c r="B25" s="93">
        <f>'Sheela Foam Income Statement'!C61</f>
        <v>-168.44300000000021</v>
      </c>
      <c r="C25" s="96">
        <v>2440.87</v>
      </c>
      <c r="D25" s="96">
        <v>1507.5</v>
      </c>
      <c r="E25" s="96">
        <v>2559</v>
      </c>
    </row>
    <row r="26" spans="1:7">
      <c r="A26" s="34"/>
      <c r="B26" s="34"/>
      <c r="C26" s="34"/>
      <c r="D26" s="34"/>
      <c r="E26" s="34"/>
    </row>
    <row r="27" spans="1:7">
      <c r="A27" s="92" t="s">
        <v>59</v>
      </c>
      <c r="B27" s="107">
        <f>'Sheela Foam Income Statement'!C65</f>
        <v>13171.35816</v>
      </c>
      <c r="C27" s="107">
        <v>370700</v>
      </c>
      <c r="D27" s="107">
        <v>24338</v>
      </c>
      <c r="E27" s="107">
        <v>60883</v>
      </c>
      <c r="G27">
        <f>'Sheela Foam Income Statement'!D65</f>
        <v>53661.088799999998</v>
      </c>
    </row>
    <row r="28" spans="1:7">
      <c r="A28" s="92" t="s">
        <v>114</v>
      </c>
      <c r="B28">
        <v>5062.1000000000004</v>
      </c>
      <c r="C28">
        <v>244697.8</v>
      </c>
      <c r="D28">
        <v>18643.900000000001</v>
      </c>
      <c r="E28">
        <v>55749.5</v>
      </c>
      <c r="G28">
        <f>'Sheela Foam Income Statement'!D68</f>
        <v>54066.188799999996</v>
      </c>
    </row>
    <row r="29" spans="1:7">
      <c r="A29" s="92"/>
      <c r="B29" s="34"/>
      <c r="C29" s="108"/>
      <c r="D29" s="92"/>
      <c r="E29" s="92"/>
    </row>
    <row r="30" spans="1:7">
      <c r="A30" s="92"/>
      <c r="B30" s="34"/>
      <c r="C30" s="92"/>
      <c r="D30" s="92"/>
      <c r="E30" s="92"/>
    </row>
    <row r="31" spans="1:7">
      <c r="A31" s="91" t="s">
        <v>95</v>
      </c>
      <c r="B31" s="34"/>
      <c r="C31" s="92"/>
      <c r="D31" s="92"/>
      <c r="E31" s="92"/>
    </row>
    <row r="32" spans="1:7">
      <c r="A32" s="92" t="s">
        <v>96</v>
      </c>
      <c r="B32" s="103">
        <f>'Sheela Foam Income Statement'!K58</f>
        <v>13.554216867469878</v>
      </c>
      <c r="C32" s="109" t="s">
        <v>174</v>
      </c>
      <c r="D32" s="109">
        <v>8.94</v>
      </c>
      <c r="E32" s="109">
        <v>41.31</v>
      </c>
      <c r="G32">
        <f>'Sheela Foam Income Statement'!L58</f>
        <v>44.679122664500404</v>
      </c>
    </row>
    <row r="33" spans="1:7">
      <c r="A33" s="92" t="s">
        <v>169</v>
      </c>
      <c r="B33" s="110"/>
      <c r="C33" s="92">
        <v>0.2</v>
      </c>
      <c r="D33" s="92">
        <v>0</v>
      </c>
      <c r="E33" s="92">
        <v>0.48</v>
      </c>
    </row>
    <row r="34" spans="1:7">
      <c r="A34" s="92" t="s">
        <v>97</v>
      </c>
      <c r="B34" s="103">
        <f>'Sheela Foam Income Statement'!K59</f>
        <v>1.4217535613575061</v>
      </c>
      <c r="C34" s="111">
        <v>16.88</v>
      </c>
      <c r="D34" s="111">
        <v>1.89</v>
      </c>
      <c r="E34" s="111">
        <v>22.13</v>
      </c>
      <c r="G34">
        <f>'Sheela Foam Income Statement'!L59</f>
        <v>4.4972040797512589</v>
      </c>
    </row>
    <row r="35" spans="1:7">
      <c r="A35" s="92" t="s">
        <v>98</v>
      </c>
      <c r="B35" s="103">
        <f>'Sheela Foam Income Statement'!K60</f>
        <v>4.147821233959692</v>
      </c>
      <c r="C35" s="109">
        <v>51.08</v>
      </c>
      <c r="D35" s="109">
        <v>4.5199999999999996</v>
      </c>
      <c r="E35" s="109">
        <v>23.46</v>
      </c>
      <c r="G35">
        <f>'Sheela Foam Income Statement'!L60</f>
        <v>14.847054888545864</v>
      </c>
    </row>
    <row r="36" spans="1:7">
      <c r="A36" s="92"/>
      <c r="B36" s="34"/>
      <c r="C36" s="92"/>
      <c r="D36" s="92"/>
      <c r="E36" s="92"/>
    </row>
    <row r="37" spans="1:7">
      <c r="A37" s="91" t="s">
        <v>99</v>
      </c>
      <c r="B37" s="34"/>
      <c r="C37" s="92"/>
      <c r="D37" s="92"/>
      <c r="E37" s="92"/>
    </row>
    <row r="38" spans="1:7">
      <c r="A38" s="91" t="s">
        <v>100</v>
      </c>
      <c r="B38" s="34"/>
      <c r="C38" s="92"/>
      <c r="D38" s="92"/>
      <c r="E38" s="92"/>
    </row>
    <row r="39" spans="1:7">
      <c r="A39" s="92" t="s">
        <v>101</v>
      </c>
      <c r="B39" s="34"/>
      <c r="C39" s="92"/>
      <c r="D39" s="92"/>
      <c r="E39" s="92"/>
    </row>
    <row r="40" spans="1:7">
      <c r="A40" s="92" t="s">
        <v>102</v>
      </c>
      <c r="B40" s="112">
        <f>'Sheela Foam Income Statement'!K56</f>
        <v>189.9063292953534</v>
      </c>
      <c r="C40" s="109">
        <v>179.57</v>
      </c>
      <c r="D40" s="109">
        <v>198.39</v>
      </c>
      <c r="E40" s="109">
        <v>95.19</v>
      </c>
    </row>
    <row r="41" spans="1:7">
      <c r="A41" s="92" t="s">
        <v>103</v>
      </c>
      <c r="B41" s="46">
        <f>'Sheela Foam Income Statement'!K61</f>
        <v>0.20971800585568184</v>
      </c>
      <c r="C41" s="95">
        <v>-0.108</v>
      </c>
      <c r="D41" s="95">
        <v>0.2114</v>
      </c>
      <c r="E41" s="95">
        <v>0.53580000000000005</v>
      </c>
    </row>
    <row r="42" spans="1:7">
      <c r="A42" s="92" t="s">
        <v>104</v>
      </c>
      <c r="B42" s="46">
        <f>'Sheela Foam Income Statement'!K62</f>
        <v>0.19168998489642619</v>
      </c>
      <c r="C42" s="95">
        <v>0.19</v>
      </c>
      <c r="D42" s="95">
        <v>0.25669999999999998</v>
      </c>
      <c r="E42" s="95">
        <v>0.34210000000000002</v>
      </c>
    </row>
    <row r="43" spans="1:7">
      <c r="A43" s="92" t="s">
        <v>175</v>
      </c>
      <c r="B43" s="113"/>
      <c r="C43" s="109">
        <v>45.25</v>
      </c>
      <c r="D43" s="109">
        <v>52.01</v>
      </c>
      <c r="E43" s="109">
        <v>56.89</v>
      </c>
    </row>
    <row r="44" spans="1:7">
      <c r="A44" s="92" t="s">
        <v>106</v>
      </c>
      <c r="B44" s="113">
        <f>'Sheela Foam Income Statement'!K66</f>
        <v>30.891789510101514</v>
      </c>
      <c r="C44" s="109"/>
      <c r="D44" s="109"/>
      <c r="E44" s="109"/>
    </row>
    <row r="45" spans="1:7">
      <c r="A45" s="92" t="s">
        <v>53</v>
      </c>
      <c r="B45" s="113" t="s">
        <v>174</v>
      </c>
      <c r="C45" s="109" t="s">
        <v>174</v>
      </c>
      <c r="D45" s="109" t="s">
        <v>174</v>
      </c>
      <c r="E45" s="109" t="s">
        <v>174</v>
      </c>
    </row>
    <row r="46" spans="1:7">
      <c r="A46" s="92" t="s">
        <v>107</v>
      </c>
      <c r="B46" s="113">
        <f>'[1]Including Other Income'!S63</f>
        <v>71.973852070201815</v>
      </c>
      <c r="C46" s="109"/>
      <c r="D46" s="109"/>
      <c r="E46" s="109"/>
    </row>
    <row r="47" spans="1:7">
      <c r="A47" s="92" t="s">
        <v>108</v>
      </c>
      <c r="B47" s="113">
        <f>'Sheela Foam Income Statement'!K68</f>
        <v>59.728201121116243</v>
      </c>
      <c r="C47" s="109"/>
      <c r="D47" s="109"/>
      <c r="E47" s="109"/>
    </row>
    <row r="48" spans="1:7">
      <c r="A48" s="92" t="s">
        <v>54</v>
      </c>
      <c r="B48" s="113" t="s">
        <v>174</v>
      </c>
      <c r="C48" s="109" t="s">
        <v>174</v>
      </c>
      <c r="D48" s="109" t="s">
        <v>174</v>
      </c>
      <c r="E48" s="109" t="s">
        <v>174</v>
      </c>
    </row>
    <row r="49" spans="1:5">
      <c r="A49" s="92" t="s">
        <v>109</v>
      </c>
      <c r="B49" s="113">
        <f>'Sheela Foam Income Statement'!K63</f>
        <v>0.20849069597645292</v>
      </c>
      <c r="C49" s="109">
        <v>0</v>
      </c>
      <c r="D49" s="109">
        <v>0</v>
      </c>
      <c r="E49" s="109">
        <v>0</v>
      </c>
    </row>
    <row r="50" spans="1:5">
      <c r="A50" s="92" t="s">
        <v>110</v>
      </c>
      <c r="B50" s="114">
        <f>'Sheela Foam Income Statement'!K64</f>
        <v>-7.6712912249826321E-2</v>
      </c>
      <c r="C50" s="109"/>
      <c r="D50" s="109"/>
      <c r="E50" s="109"/>
    </row>
    <row r="51" spans="1:5">
      <c r="A51" s="92" t="s">
        <v>111</v>
      </c>
      <c r="B51" s="113" t="s">
        <v>174</v>
      </c>
      <c r="C51" s="109">
        <v>52.38</v>
      </c>
      <c r="D51" s="109">
        <v>40.47</v>
      </c>
      <c r="E51" s="109">
        <v>65.58</v>
      </c>
    </row>
    <row r="52" spans="1:5">
      <c r="A52" s="92" t="s">
        <v>112</v>
      </c>
      <c r="B52" s="97" t="s">
        <v>174</v>
      </c>
      <c r="C52" s="95"/>
      <c r="D52" s="95"/>
      <c r="E52" s="9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topLeftCell="A4" zoomScale="85" zoomScaleNormal="85" workbookViewId="0">
      <selection activeCell="M19" sqref="M19"/>
    </sheetView>
  </sheetViews>
  <sheetFormatPr defaultRowHeight="15"/>
  <cols>
    <col min="1" max="1" width="41.140625" customWidth="1"/>
    <col min="2" max="2" width="8.85546875" customWidth="1"/>
  </cols>
  <sheetData>
    <row r="1" spans="1:10">
      <c r="A1" s="407" t="s">
        <v>71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>
      <c r="A2" s="4" t="s">
        <v>0</v>
      </c>
      <c r="B2" s="25" t="s">
        <v>191</v>
      </c>
      <c r="C2" s="25" t="s">
        <v>192</v>
      </c>
      <c r="D2" s="26" t="s">
        <v>186</v>
      </c>
      <c r="E2" s="26" t="s">
        <v>187</v>
      </c>
      <c r="F2" s="27" t="s">
        <v>183</v>
      </c>
      <c r="G2" s="27" t="s">
        <v>188</v>
      </c>
      <c r="H2" s="125"/>
      <c r="I2" s="125" t="s">
        <v>184</v>
      </c>
      <c r="J2" s="27" t="s">
        <v>189</v>
      </c>
    </row>
    <row r="3" spans="1:10">
      <c r="A3" s="145" t="s">
        <v>1</v>
      </c>
      <c r="B3" s="146">
        <v>867.98</v>
      </c>
      <c r="C3" s="146">
        <v>932.66</v>
      </c>
      <c r="D3" s="146">
        <v>966.94</v>
      </c>
      <c r="E3" s="146">
        <v>1011.2</v>
      </c>
      <c r="F3" s="146">
        <v>1054.53</v>
      </c>
      <c r="G3" s="146">
        <v>1099.67</v>
      </c>
      <c r="H3" s="147"/>
      <c r="I3" s="147">
        <v>2154.1990000000001</v>
      </c>
      <c r="J3" s="146">
        <f>I3*2</f>
        <v>4308.3980000000001</v>
      </c>
    </row>
    <row r="4" spans="1:10">
      <c r="A4" s="143" t="s">
        <v>195</v>
      </c>
      <c r="B4" s="28"/>
      <c r="C4" s="28"/>
      <c r="D4" s="142"/>
      <c r="E4" s="142"/>
      <c r="F4" s="141">
        <f>(F3/B3-1)</f>
        <v>0.21492430701168219</v>
      </c>
      <c r="G4" s="141">
        <f>(G3/C3-1)</f>
        <v>0.17906847082538135</v>
      </c>
      <c r="H4" s="126"/>
      <c r="I4" s="126"/>
      <c r="J4" s="28"/>
    </row>
    <row r="5" spans="1:10">
      <c r="A5" s="2" t="s">
        <v>6</v>
      </c>
      <c r="B5" s="29">
        <v>50.69</v>
      </c>
      <c r="C5" s="29">
        <v>47.32</v>
      </c>
      <c r="D5" s="29">
        <v>37.1</v>
      </c>
      <c r="E5" s="29">
        <v>39.44</v>
      </c>
      <c r="F5" s="29">
        <v>42.15</v>
      </c>
      <c r="G5" s="29">
        <v>39.4</v>
      </c>
      <c r="H5" s="127"/>
      <c r="I5" s="127">
        <v>81.549000000000007</v>
      </c>
      <c r="J5" s="29">
        <f>SUM(D5:G5)</f>
        <v>158.09</v>
      </c>
    </row>
    <row r="6" spans="1:10">
      <c r="A6" s="14" t="s">
        <v>194</v>
      </c>
      <c r="B6" s="23">
        <f t="shared" ref="B6:J6" si="0">B3+B5</f>
        <v>918.67000000000007</v>
      </c>
      <c r="C6" s="23">
        <f t="shared" si="0"/>
        <v>979.98</v>
      </c>
      <c r="D6" s="23">
        <f t="shared" si="0"/>
        <v>1004.0400000000001</v>
      </c>
      <c r="E6" s="23">
        <f t="shared" si="0"/>
        <v>1050.6400000000001</v>
      </c>
      <c r="F6" s="23">
        <f t="shared" si="0"/>
        <v>1096.68</v>
      </c>
      <c r="G6" s="23">
        <f t="shared" si="0"/>
        <v>1139.0700000000002</v>
      </c>
      <c r="H6" s="144"/>
      <c r="I6" s="144">
        <f t="shared" si="0"/>
        <v>2235.748</v>
      </c>
      <c r="J6" s="23">
        <f t="shared" si="0"/>
        <v>4466.4880000000003</v>
      </c>
    </row>
    <row r="7" spans="1:10">
      <c r="A7" s="148" t="s">
        <v>2</v>
      </c>
      <c r="B7" s="142" t="e">
        <f>(B6/#REF!-1)</f>
        <v>#REF!</v>
      </c>
      <c r="C7" s="142"/>
      <c r="D7" s="142">
        <f>(D6/C6-1)</f>
        <v>2.4551521459621695E-2</v>
      </c>
      <c r="E7" s="142">
        <f>(E6/D6-1)</f>
        <v>4.6412493526154286E-2</v>
      </c>
      <c r="F7" s="142">
        <f>(F6/E6-1)</f>
        <v>4.3820909160130928E-2</v>
      </c>
      <c r="G7" s="142">
        <f>(G6/F6-1)</f>
        <v>3.8653025495130944E-2</v>
      </c>
      <c r="H7" s="149"/>
      <c r="I7" s="149">
        <f>(I6/G6-1)</f>
        <v>0.96278367440104629</v>
      </c>
      <c r="J7" s="142">
        <f>(J6/G6-1)</f>
        <v>2.9211707796711348</v>
      </c>
    </row>
    <row r="8" spans="1:10">
      <c r="A8" s="148" t="s">
        <v>74</v>
      </c>
      <c r="B8" s="150"/>
      <c r="C8" s="142"/>
      <c r="D8" s="142"/>
      <c r="E8" s="142">
        <f>+((E6/B6)^(1/3)-1)</f>
        <v>4.5758650253375333E-2</v>
      </c>
      <c r="F8" s="142">
        <f>+((F6/C6)^(1/3)-1)</f>
        <v>3.8215648057288609E-2</v>
      </c>
      <c r="G8" s="142">
        <f>+((G6/D6)^(1/3)-1)</f>
        <v>4.295715125073496E-2</v>
      </c>
      <c r="H8" s="149"/>
      <c r="I8" s="149">
        <f>+((I6/E6)^(1/3)-1)</f>
        <v>0.28624284885413309</v>
      </c>
      <c r="J8" s="142">
        <f>+((J6/F6)^(1/3)-1)</f>
        <v>0.59696506637978897</v>
      </c>
    </row>
    <row r="9" spans="1:10">
      <c r="A9" s="8" t="s">
        <v>3</v>
      </c>
      <c r="B9" s="18">
        <f>SUM(B10:B17)</f>
        <v>713.58000000000015</v>
      </c>
      <c r="C9" s="121">
        <f>C10+C13+C16</f>
        <v>767.64</v>
      </c>
      <c r="D9" s="121">
        <f>D10+D13+D16</f>
        <v>784.03</v>
      </c>
      <c r="E9" s="121">
        <f>E10+E13+E16</f>
        <v>838.11</v>
      </c>
      <c r="F9" s="121">
        <f>F10+F13+F16</f>
        <v>831.97</v>
      </c>
      <c r="G9" s="121">
        <f>G10+G13+G16</f>
        <v>836.75</v>
      </c>
      <c r="H9" s="121"/>
      <c r="I9" s="121">
        <f>I10+I13+I16</f>
        <v>1668.7149999999999</v>
      </c>
      <c r="J9" s="121">
        <f>J10+J13+J16</f>
        <v>3337.43</v>
      </c>
    </row>
    <row r="10" spans="1:10">
      <c r="A10" s="151" t="s">
        <v>55</v>
      </c>
      <c r="B10" s="152">
        <v>331.04</v>
      </c>
      <c r="C10" s="152">
        <v>320.05</v>
      </c>
      <c r="D10" s="152">
        <v>301.08</v>
      </c>
      <c r="E10" s="152">
        <v>320.31</v>
      </c>
      <c r="F10" s="152">
        <v>337.87</v>
      </c>
      <c r="G10" s="153">
        <v>311.99</v>
      </c>
      <c r="H10" s="154"/>
      <c r="I10" s="154">
        <v>649.85699999999997</v>
      </c>
      <c r="J10" s="153">
        <f>I10*2</f>
        <v>1299.7139999999999</v>
      </c>
    </row>
    <row r="11" spans="1:10">
      <c r="A11" s="136" t="s">
        <v>190</v>
      </c>
      <c r="B11" s="137"/>
      <c r="C11" s="138">
        <f>C10/C3</f>
        <v>0.34315827847232649</v>
      </c>
      <c r="D11" s="138">
        <f t="shared" ref="D11:J11" si="1">D10/D3</f>
        <v>0.3113740252756117</v>
      </c>
      <c r="E11" s="138">
        <f t="shared" si="1"/>
        <v>0.31676226265822782</v>
      </c>
      <c r="F11" s="138">
        <f t="shared" si="1"/>
        <v>0.3203986610148597</v>
      </c>
      <c r="G11" s="138">
        <f t="shared" si="1"/>
        <v>0.28371238644320568</v>
      </c>
      <c r="H11" s="138"/>
      <c r="I11" s="138">
        <f t="shared" si="1"/>
        <v>0.30166990143436145</v>
      </c>
      <c r="J11" s="138">
        <f t="shared" si="1"/>
        <v>0.30166990143436145</v>
      </c>
    </row>
    <row r="12" spans="1:10">
      <c r="A12" s="2" t="s">
        <v>2</v>
      </c>
      <c r="B12" s="30"/>
      <c r="C12" s="22"/>
      <c r="D12" s="22">
        <f>(D10/C10-1)</f>
        <v>-5.9271988751757654E-2</v>
      </c>
      <c r="E12" s="22">
        <f>(E10/D10-1)</f>
        <v>6.3870067756078175E-2</v>
      </c>
      <c r="F12" s="22">
        <f>(F10/E10-1)</f>
        <v>5.482189129281001E-2</v>
      </c>
      <c r="G12" s="22">
        <f>(G10/F10-1)</f>
        <v>-7.6597507917246288E-2</v>
      </c>
      <c r="H12" s="128"/>
      <c r="I12" s="128" t="s">
        <v>174</v>
      </c>
      <c r="J12" s="22">
        <f>(J10/G10-1)</f>
        <v>3.1658835219077535</v>
      </c>
    </row>
    <row r="13" spans="1:10">
      <c r="A13" s="151" t="s">
        <v>150</v>
      </c>
      <c r="B13" s="155">
        <v>268.85000000000002</v>
      </c>
      <c r="C13" s="155">
        <v>339.58</v>
      </c>
      <c r="D13" s="156">
        <v>376.68</v>
      </c>
      <c r="E13" s="155">
        <v>387.72</v>
      </c>
      <c r="F13" s="155">
        <v>372.91</v>
      </c>
      <c r="G13" s="157">
        <v>398.98</v>
      </c>
      <c r="H13" s="158"/>
      <c r="I13" s="158">
        <v>771.88699999999994</v>
      </c>
      <c r="J13" s="157">
        <f>I13*2</f>
        <v>1543.7739999999999</v>
      </c>
    </row>
    <row r="14" spans="1:10">
      <c r="A14" s="136" t="s">
        <v>190</v>
      </c>
      <c r="B14" s="139"/>
      <c r="C14" s="138">
        <f>C13/C3</f>
        <v>0.36409838526365451</v>
      </c>
      <c r="D14" s="138">
        <f t="shared" ref="D14:J14" si="2">D13/D3</f>
        <v>0.38955881440420292</v>
      </c>
      <c r="E14" s="138">
        <f t="shared" si="2"/>
        <v>0.38342563291139242</v>
      </c>
      <c r="F14" s="138">
        <f t="shared" si="2"/>
        <v>0.3536267341848976</v>
      </c>
      <c r="G14" s="138">
        <f t="shared" si="2"/>
        <v>0.36281793628997788</v>
      </c>
      <c r="H14" s="138"/>
      <c r="I14" s="138">
        <f t="shared" si="2"/>
        <v>0.35831740707334836</v>
      </c>
      <c r="J14" s="138">
        <f t="shared" si="2"/>
        <v>0.35831740707334836</v>
      </c>
    </row>
    <row r="15" spans="1:10">
      <c r="A15" s="2" t="s">
        <v>2</v>
      </c>
      <c r="B15" s="29"/>
      <c r="C15" s="22"/>
      <c r="D15" s="22">
        <f>(D13/C13-1)</f>
        <v>0.10925260616055144</v>
      </c>
      <c r="E15" s="22">
        <f>(E13/D13-1)</f>
        <v>2.9308697037273124E-2</v>
      </c>
      <c r="F15" s="22">
        <f>(F13/E13-1)</f>
        <v>-3.8197668420509645E-2</v>
      </c>
      <c r="G15" s="22">
        <f>(G13/F13-1)</f>
        <v>6.9909629669357098E-2</v>
      </c>
      <c r="H15" s="128"/>
      <c r="I15" s="128" t="s">
        <v>174</v>
      </c>
      <c r="J15" s="22" t="s">
        <v>174</v>
      </c>
    </row>
    <row r="16" spans="1:10">
      <c r="A16" s="151" t="s">
        <v>180</v>
      </c>
      <c r="B16" s="155">
        <v>113.69</v>
      </c>
      <c r="C16" s="155">
        <v>108.01</v>
      </c>
      <c r="D16" s="155">
        <v>106.27</v>
      </c>
      <c r="E16" s="155">
        <v>130.08000000000001</v>
      </c>
      <c r="F16" s="155">
        <v>121.19</v>
      </c>
      <c r="G16" s="155">
        <v>125.78</v>
      </c>
      <c r="H16" s="159"/>
      <c r="I16" s="159">
        <v>246.971</v>
      </c>
      <c r="J16" s="155">
        <f>I16*2</f>
        <v>493.94200000000001</v>
      </c>
    </row>
    <row r="17" spans="1:10">
      <c r="A17" s="2"/>
      <c r="B17" s="29"/>
      <c r="C17" s="29"/>
      <c r="D17" s="29"/>
      <c r="E17" s="29"/>
      <c r="F17" s="29"/>
      <c r="G17" s="29"/>
      <c r="H17" s="120"/>
      <c r="I17" s="5"/>
      <c r="J17" s="135"/>
    </row>
    <row r="18" spans="1:10">
      <c r="A18" s="160" t="s">
        <v>4</v>
      </c>
      <c r="B18" s="161">
        <f t="shared" ref="B18:G18" si="3">B3-B9</f>
        <v>154.39999999999986</v>
      </c>
      <c r="C18" s="161">
        <f t="shared" si="3"/>
        <v>165.01999999999998</v>
      </c>
      <c r="D18" s="161">
        <f t="shared" si="3"/>
        <v>182.91000000000008</v>
      </c>
      <c r="E18" s="161">
        <f t="shared" si="3"/>
        <v>173.09000000000003</v>
      </c>
      <c r="F18" s="161">
        <f t="shared" si="3"/>
        <v>222.55999999999995</v>
      </c>
      <c r="G18" s="161">
        <f t="shared" si="3"/>
        <v>262.92000000000007</v>
      </c>
      <c r="H18" s="161"/>
      <c r="I18" s="161">
        <f>I3-I9</f>
        <v>485.48400000000015</v>
      </c>
      <c r="J18" s="161">
        <f>J3-J9</f>
        <v>970.9680000000003</v>
      </c>
    </row>
    <row r="19" spans="1:10">
      <c r="A19" s="7" t="s">
        <v>2</v>
      </c>
      <c r="B19" s="22"/>
      <c r="C19" s="22">
        <f>(C18/B18-1)</f>
        <v>6.8782383419689896E-2</v>
      </c>
      <c r="D19" s="22">
        <f>(D18/C18-1)</f>
        <v>0.10841110168464496</v>
      </c>
      <c r="E19" s="22">
        <f>(E18/D18-1)</f>
        <v>-5.3687605926412196E-2</v>
      </c>
      <c r="F19" s="22">
        <f>(F18/E18-1)</f>
        <v>0.28580507250563225</v>
      </c>
      <c r="G19" s="22">
        <f>(G18/F18-1)</f>
        <v>0.18134435657800196</v>
      </c>
      <c r="H19" s="142"/>
      <c r="I19" s="142"/>
      <c r="J19" s="142"/>
    </row>
    <row r="20" spans="1:10">
      <c r="A20" s="7"/>
      <c r="B20" s="22"/>
      <c r="C20" s="22"/>
      <c r="D20" s="22"/>
      <c r="E20" s="22"/>
      <c r="F20" s="22"/>
      <c r="G20" s="22"/>
      <c r="H20" s="149"/>
      <c r="I20" s="149"/>
      <c r="J20" s="142"/>
    </row>
    <row r="21" spans="1:10">
      <c r="A21" s="7" t="s">
        <v>74</v>
      </c>
      <c r="B21" s="22"/>
      <c r="C21" s="22"/>
      <c r="D21" s="22"/>
      <c r="E21" s="22">
        <f>+((E18/B18)^(1/3)-1)</f>
        <v>3.8823009823127919E-2</v>
      </c>
      <c r="F21" s="22">
        <f>+((F18/C18)^(1/3)-1)</f>
        <v>0.10485048320699164</v>
      </c>
      <c r="G21" s="22">
        <f>+((G18/D18)^(1/3)-1)</f>
        <v>0.12857057971846086</v>
      </c>
      <c r="H21" s="149"/>
      <c r="I21" s="164" t="s">
        <v>174</v>
      </c>
      <c r="J21" s="165"/>
    </row>
    <row r="22" spans="1:10">
      <c r="A22" s="160" t="s">
        <v>5</v>
      </c>
      <c r="B22" s="162">
        <f>(B18/B3)</f>
        <v>0.17788428304799633</v>
      </c>
      <c r="C22" s="162">
        <f>(C18/C3)</f>
        <v>0.17693478866896831</v>
      </c>
      <c r="D22" s="162">
        <f>(D18/D3)</f>
        <v>0.18916375369723051</v>
      </c>
      <c r="E22" s="162">
        <f>(E18/E3)</f>
        <v>0.17117286392405065</v>
      </c>
      <c r="F22" s="162">
        <f>(F18/F3)</f>
        <v>0.21105136885626768</v>
      </c>
      <c r="G22" s="162">
        <f>G18/G3</f>
        <v>0.23908990879081912</v>
      </c>
      <c r="H22" s="163"/>
      <c r="I22" s="163">
        <f>I18/I3</f>
        <v>0.2253663658742763</v>
      </c>
      <c r="J22" s="163">
        <f>J18/J3</f>
        <v>0.2253663658742763</v>
      </c>
    </row>
    <row r="23" spans="1:10">
      <c r="A23" s="8"/>
      <c r="B23" s="10"/>
      <c r="C23" s="10"/>
      <c r="D23" s="10"/>
      <c r="E23" s="10"/>
      <c r="F23" s="10"/>
      <c r="G23" s="10"/>
      <c r="H23" s="130"/>
      <c r="I23" s="130"/>
      <c r="J23" s="10"/>
    </row>
    <row r="24" spans="1:10">
      <c r="A24" s="2" t="s">
        <v>7</v>
      </c>
      <c r="B24" s="29">
        <v>67.87</v>
      </c>
      <c r="C24" s="29">
        <v>63.81</v>
      </c>
      <c r="D24" s="29">
        <v>62.75</v>
      </c>
      <c r="E24" s="29">
        <v>64.88</v>
      </c>
      <c r="F24" s="29">
        <v>64.06</v>
      </c>
      <c r="G24" s="29">
        <v>66.58</v>
      </c>
      <c r="H24" s="127"/>
      <c r="I24" s="127">
        <v>130.643</v>
      </c>
      <c r="J24" s="29">
        <f>G24*1.02</f>
        <v>67.911599999999993</v>
      </c>
    </row>
    <row r="25" spans="1:10">
      <c r="A25" s="2" t="s">
        <v>8</v>
      </c>
      <c r="B25" s="29">
        <v>12.38</v>
      </c>
      <c r="C25" s="29">
        <v>11.47</v>
      </c>
      <c r="D25" s="29">
        <v>12.07</v>
      </c>
      <c r="E25" s="29">
        <v>12.34</v>
      </c>
      <c r="F25" s="29">
        <v>12.1</v>
      </c>
      <c r="G25" s="29">
        <v>13.75</v>
      </c>
      <c r="H25" s="127"/>
      <c r="I25" s="127">
        <v>25.847999999999999</v>
      </c>
      <c r="J25" s="29">
        <f>I25*2</f>
        <v>51.695999999999998</v>
      </c>
    </row>
    <row r="26" spans="1:10">
      <c r="A26" s="2" t="s">
        <v>155</v>
      </c>
      <c r="B26" s="29"/>
      <c r="C26" s="29"/>
      <c r="D26" s="29"/>
      <c r="E26" s="29"/>
      <c r="F26" s="29"/>
      <c r="G26" s="29"/>
      <c r="H26" s="127"/>
      <c r="I26" s="127"/>
      <c r="J26" s="29"/>
    </row>
    <row r="27" spans="1:10">
      <c r="A27" s="2" t="s">
        <v>193</v>
      </c>
      <c r="B27" s="29">
        <v>-2.25</v>
      </c>
      <c r="C27" s="29">
        <v>-2.65</v>
      </c>
      <c r="D27" s="29"/>
      <c r="E27" s="29"/>
      <c r="F27" s="29"/>
      <c r="G27" s="29"/>
      <c r="H27" s="127"/>
      <c r="I27" s="127"/>
      <c r="J27" s="29"/>
    </row>
    <row r="28" spans="1:10">
      <c r="A28" s="2" t="s">
        <v>9</v>
      </c>
      <c r="B28" s="16"/>
      <c r="C28" s="16"/>
      <c r="D28" s="17"/>
      <c r="E28" s="15">
        <v>0</v>
      </c>
      <c r="F28" s="15">
        <v>0</v>
      </c>
      <c r="G28" s="17"/>
      <c r="H28" s="33"/>
      <c r="I28" s="33"/>
      <c r="J28" s="17"/>
    </row>
    <row r="29" spans="1:10">
      <c r="A29" s="8" t="s">
        <v>10</v>
      </c>
      <c r="B29" s="122">
        <f>B18-B24-B25+B5+B27</f>
        <v>122.58999999999986</v>
      </c>
      <c r="C29" s="122">
        <f>C18-C24-C25+C5+C27</f>
        <v>134.40999999999997</v>
      </c>
      <c r="D29" s="122">
        <f>D18-D24-D25+D5</f>
        <v>145.19000000000008</v>
      </c>
      <c r="E29" s="122">
        <f>E18-E24-E25+E5</f>
        <v>135.31000000000003</v>
      </c>
      <c r="F29" s="122">
        <f>F18-F24-F25+F5</f>
        <v>188.54999999999995</v>
      </c>
      <c r="G29" s="122">
        <f>G18-G24-G25+G5</f>
        <v>221.99000000000009</v>
      </c>
      <c r="H29" s="122"/>
      <c r="I29" s="122">
        <f>I18-I24-I25+I5</f>
        <v>410.54200000000014</v>
      </c>
      <c r="J29" s="122">
        <f>J18-J24-J25+J5</f>
        <v>1009.4504000000003</v>
      </c>
    </row>
    <row r="30" spans="1:10">
      <c r="A30" s="2" t="s">
        <v>11</v>
      </c>
      <c r="B30" s="16"/>
      <c r="C30" s="16">
        <v>31.78</v>
      </c>
      <c r="D30" s="17">
        <v>34.04</v>
      </c>
      <c r="E30" s="17">
        <v>34.090000000000003</v>
      </c>
      <c r="F30" s="17">
        <v>47.63</v>
      </c>
      <c r="G30" s="17">
        <v>54.28</v>
      </c>
      <c r="H30" s="33"/>
      <c r="I30" s="33">
        <f>104.304-2.388</f>
        <v>101.916</v>
      </c>
      <c r="J30" s="17">
        <f>G31*J29</f>
        <v>246.82628817514299</v>
      </c>
    </row>
    <row r="31" spans="1:10">
      <c r="A31" s="7" t="s">
        <v>12</v>
      </c>
      <c r="B31" s="22">
        <f t="shared" ref="B31:J31" si="4">(B30/B29)</f>
        <v>0</v>
      </c>
      <c r="C31" s="22">
        <f t="shared" si="4"/>
        <v>0.2364407410162935</v>
      </c>
      <c r="D31" s="22">
        <f t="shared" si="4"/>
        <v>0.23445140849920779</v>
      </c>
      <c r="E31" s="22">
        <f t="shared" si="4"/>
        <v>0.25193998965338849</v>
      </c>
      <c r="F31" s="22">
        <f t="shared" si="4"/>
        <v>0.25261203924688419</v>
      </c>
      <c r="G31" s="22">
        <f t="shared" si="4"/>
        <v>0.24451551871705923</v>
      </c>
      <c r="H31" s="128"/>
      <c r="I31" s="128">
        <f t="shared" si="4"/>
        <v>0.24824743875169888</v>
      </c>
      <c r="J31" s="128">
        <f t="shared" si="4"/>
        <v>0.24451551871705923</v>
      </c>
    </row>
    <row r="32" spans="1:10">
      <c r="A32" s="8" t="s">
        <v>13</v>
      </c>
      <c r="B32" s="19">
        <f>(B29-B30)</f>
        <v>122.58999999999986</v>
      </c>
      <c r="C32" s="19">
        <f>(C29-C30)</f>
        <v>102.62999999999997</v>
      </c>
      <c r="D32" s="19">
        <f>(D29-D30)</f>
        <v>111.15000000000009</v>
      </c>
      <c r="E32" s="19">
        <f>(E29-E30)</f>
        <v>101.22000000000003</v>
      </c>
      <c r="F32" s="19">
        <f>(F29-F30)</f>
        <v>140.91999999999996</v>
      </c>
      <c r="G32" s="122">
        <f>G29-G30</f>
        <v>167.71000000000009</v>
      </c>
      <c r="H32" s="122"/>
      <c r="I32" s="122">
        <f>I29-I30</f>
        <v>308.62600000000015</v>
      </c>
      <c r="J32" s="122">
        <f>J29-J30</f>
        <v>762.62411182485732</v>
      </c>
    </row>
    <row r="33" spans="1:10">
      <c r="A33" s="8" t="s">
        <v>64</v>
      </c>
      <c r="B33" s="11">
        <f>B32/B6</f>
        <v>0.1334429120358778</v>
      </c>
      <c r="C33" s="11">
        <f>C32/C3</f>
        <v>0.11004010035811547</v>
      </c>
      <c r="D33" s="11">
        <f>D32/D3</f>
        <v>0.11495025544501218</v>
      </c>
      <c r="E33" s="11">
        <f>E32/E3</f>
        <v>0.10009889240506331</v>
      </c>
      <c r="F33" s="11">
        <f>F32/F3</f>
        <v>0.13363299289730968</v>
      </c>
      <c r="G33" s="131">
        <f>G32/G3</f>
        <v>0.15250938918039056</v>
      </c>
      <c r="H33" s="131"/>
      <c r="I33" s="131">
        <f>I32/I3</f>
        <v>0.14326717262425623</v>
      </c>
      <c r="J33" s="131">
        <f>J32/J3</f>
        <v>0.17700874242000328</v>
      </c>
    </row>
    <row r="34" spans="1:10">
      <c r="A34" s="2" t="s">
        <v>14</v>
      </c>
      <c r="B34" s="3"/>
      <c r="C34" s="3">
        <v>0</v>
      </c>
      <c r="D34" s="6">
        <v>0</v>
      </c>
      <c r="E34" s="32">
        <v>0</v>
      </c>
      <c r="F34" s="32"/>
      <c r="G34" s="32">
        <v>0</v>
      </c>
      <c r="H34" s="132"/>
      <c r="I34" s="132">
        <f>-4.713</f>
        <v>-4.7130000000000001</v>
      </c>
      <c r="J34" s="32"/>
    </row>
    <row r="35" spans="1:10">
      <c r="A35" s="2" t="s">
        <v>56</v>
      </c>
      <c r="B35" s="3"/>
      <c r="C35" s="3">
        <v>0</v>
      </c>
      <c r="D35" s="6">
        <v>0</v>
      </c>
      <c r="E35" s="32">
        <v>0</v>
      </c>
      <c r="F35" s="32">
        <f>(-6.186)+(-2.226)</f>
        <v>-8.411999999999999</v>
      </c>
      <c r="G35" s="32">
        <v>-0.11</v>
      </c>
      <c r="H35" s="132"/>
      <c r="I35" s="132">
        <f>-0.063+0.375</f>
        <v>0.312</v>
      </c>
      <c r="J35" s="32"/>
    </row>
    <row r="36" spans="1:10">
      <c r="A36" s="8" t="s">
        <v>15</v>
      </c>
      <c r="B36" s="9">
        <f>(B32-B34+B35)</f>
        <v>122.58999999999986</v>
      </c>
      <c r="C36" s="9">
        <f>(C32-C34+C35)</f>
        <v>102.62999999999997</v>
      </c>
      <c r="D36" s="9">
        <f>(D32-D34+D35)</f>
        <v>111.15000000000009</v>
      </c>
      <c r="E36" s="9">
        <f>(E32-E34+E35)</f>
        <v>101.22000000000003</v>
      </c>
      <c r="F36" s="9">
        <f>(F32+F34+F35)</f>
        <v>132.50799999999995</v>
      </c>
      <c r="G36" s="9">
        <f>G32+G35</f>
        <v>167.60000000000008</v>
      </c>
      <c r="H36" s="133"/>
      <c r="I36" s="133">
        <f>I32+I34+I35</f>
        <v>304.22500000000014</v>
      </c>
      <c r="J36" s="9"/>
    </row>
    <row r="37" spans="1:10">
      <c r="A37" s="7" t="s">
        <v>2</v>
      </c>
      <c r="B37" s="24"/>
      <c r="C37" s="24">
        <f>(C36/B36-1)</f>
        <v>-0.16281915327514407</v>
      </c>
      <c r="D37" s="24">
        <f>(D36/C36-1)</f>
        <v>8.3016661794798052E-2</v>
      </c>
      <c r="E37" s="24">
        <f>(E36/D36-1)</f>
        <v>-8.9338731443995067E-2</v>
      </c>
      <c r="F37" s="24">
        <f>(F36/E36-1)</f>
        <v>0.30910887176447255</v>
      </c>
      <c r="G37" s="24">
        <f>(G36/F36-1)</f>
        <v>0.26482929332568705</v>
      </c>
      <c r="H37" s="140"/>
      <c r="I37" s="129" t="s">
        <v>174</v>
      </c>
      <c r="J37" s="123"/>
    </row>
    <row r="38" spans="1:10">
      <c r="A38" s="7" t="s">
        <v>75</v>
      </c>
      <c r="B38" s="22"/>
      <c r="C38" s="22"/>
      <c r="D38" s="22"/>
      <c r="E38" s="22">
        <f>((E36/B36)^(1/3)-1)</f>
        <v>-6.1854004070289625E-2</v>
      </c>
      <c r="F38" s="22">
        <f>((F36/C36)^(1/3)-1)</f>
        <v>8.8903156433439712E-2</v>
      </c>
      <c r="G38" s="22">
        <f>((G36/D36)^(1/3)-1)</f>
        <v>0.14671329852955695</v>
      </c>
      <c r="H38" s="128"/>
      <c r="I38" s="129" t="s">
        <v>174</v>
      </c>
      <c r="J38" s="123"/>
    </row>
    <row r="39" spans="1:10">
      <c r="A39" s="14" t="s">
        <v>72</v>
      </c>
      <c r="B39" s="20">
        <v>4.0999999999999996</v>
      </c>
      <c r="C39" s="20">
        <v>4.49</v>
      </c>
      <c r="D39" s="21">
        <v>4.84</v>
      </c>
      <c r="E39" s="21">
        <v>4.43</v>
      </c>
      <c r="F39" s="21">
        <v>6.03</v>
      </c>
      <c r="G39" s="21">
        <v>7.23</v>
      </c>
      <c r="H39" s="134"/>
      <c r="I39" s="134">
        <v>13.29</v>
      </c>
      <c r="J39" s="21"/>
    </row>
    <row r="40" spans="1:10">
      <c r="A40" s="12" t="s">
        <v>2</v>
      </c>
      <c r="B40" s="22"/>
      <c r="C40" s="22"/>
      <c r="D40" s="22">
        <f>(D39/C39-1)</f>
        <v>7.795100222717144E-2</v>
      </c>
      <c r="E40" s="22">
        <f>(E39/D39-1)</f>
        <v>-8.4710743801652888E-2</v>
      </c>
      <c r="F40" s="22">
        <f>(F39/E39-1)</f>
        <v>0.36117381489842004</v>
      </c>
      <c r="G40" s="22">
        <f>(G39/F39-1)</f>
        <v>0.19900497512437809</v>
      </c>
      <c r="H40" s="128"/>
      <c r="I40" s="129" t="s">
        <v>174</v>
      </c>
      <c r="J40" s="123"/>
    </row>
    <row r="41" spans="1:10">
      <c r="A41" s="12" t="s">
        <v>74</v>
      </c>
      <c r="B41" s="13"/>
      <c r="C41" s="13"/>
      <c r="D41" s="22"/>
      <c r="E41" s="22"/>
      <c r="F41" s="22">
        <f>((F39/C39)^(1/3)-1)</f>
        <v>0.10329163063057911</v>
      </c>
      <c r="G41" s="22">
        <f>((G39/D39)^(1/3)-1)</f>
        <v>0.14313532435273091</v>
      </c>
      <c r="H41" s="128"/>
      <c r="I41" s="129" t="s">
        <v>174</v>
      </c>
      <c r="J41" s="123"/>
    </row>
  </sheetData>
  <mergeCells count="1">
    <mergeCell ref="A1:J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0"/>
  <sheetViews>
    <sheetView workbookViewId="0">
      <selection activeCell="D41" sqref="D41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115</v>
      </c>
      <c r="B1" t="s">
        <v>116</v>
      </c>
    </row>
    <row r="4" spans="1:14">
      <c r="A4" s="34" t="s">
        <v>149</v>
      </c>
      <c r="B4" s="34" t="s">
        <v>117</v>
      </c>
      <c r="C4" s="34" t="s">
        <v>118</v>
      </c>
      <c r="D4" s="34" t="s">
        <v>78</v>
      </c>
      <c r="E4" s="34" t="s">
        <v>83</v>
      </c>
      <c r="F4" s="34" t="s">
        <v>80</v>
      </c>
      <c r="G4" s="34" t="s">
        <v>119</v>
      </c>
      <c r="I4" s="34" t="s">
        <v>70</v>
      </c>
      <c r="J4" s="34" t="s">
        <v>117</v>
      </c>
      <c r="K4" s="34" t="s">
        <v>118</v>
      </c>
      <c r="L4" s="34" t="s">
        <v>78</v>
      </c>
      <c r="M4" s="34" t="s">
        <v>83</v>
      </c>
      <c r="N4" s="34" t="s">
        <v>80</v>
      </c>
    </row>
    <row r="5" spans="1:14">
      <c r="A5" s="34" t="s">
        <v>157</v>
      </c>
      <c r="B5" s="35">
        <v>9037</v>
      </c>
      <c r="C5" s="87">
        <v>131753.65599999999</v>
      </c>
      <c r="D5" s="87">
        <v>56003.921999999999</v>
      </c>
      <c r="E5" s="87">
        <v>12674.31</v>
      </c>
      <c r="F5" s="87">
        <v>19229.483</v>
      </c>
      <c r="G5" s="34"/>
      <c r="I5" s="34" t="s">
        <v>121</v>
      </c>
      <c r="J5" s="34">
        <v>1828.6000000000001</v>
      </c>
      <c r="K5" s="34">
        <v>-50228.231</v>
      </c>
      <c r="L5" s="34">
        <v>2346.6999999999998</v>
      </c>
      <c r="M5" s="34">
        <v>3978.8</v>
      </c>
      <c r="N5" s="34">
        <v>3695.6</v>
      </c>
    </row>
    <row r="6" spans="1:14">
      <c r="A6" s="34" t="s">
        <v>158</v>
      </c>
      <c r="B6" s="34">
        <v>6645.5</v>
      </c>
      <c r="C6" s="34">
        <v>192804.9</v>
      </c>
      <c r="D6" s="34">
        <v>43246</v>
      </c>
      <c r="E6" s="34">
        <v>7787</v>
      </c>
      <c r="F6" s="34">
        <v>8517</v>
      </c>
      <c r="G6" s="34"/>
      <c r="I6" s="34" t="s">
        <v>29</v>
      </c>
      <c r="J6" s="34">
        <v>864.5</v>
      </c>
      <c r="K6" s="34">
        <v>160.69999999999999</v>
      </c>
      <c r="L6" s="34">
        <v>528.1</v>
      </c>
      <c r="M6" s="34">
        <v>1695.367</v>
      </c>
      <c r="N6" s="34">
        <v>0</v>
      </c>
    </row>
    <row r="7" spans="1:14">
      <c r="A7" s="38" t="s">
        <v>123</v>
      </c>
      <c r="B7" s="39">
        <f t="shared" ref="B7:G7" si="0">((B5/B6)^(1/3)-1)</f>
        <v>0.10789569116632025</v>
      </c>
      <c r="C7" s="39">
        <f t="shared" si="0"/>
        <v>-0.11919142082181822</v>
      </c>
      <c r="D7" s="39">
        <f t="shared" si="0"/>
        <v>8.9994147341441177E-2</v>
      </c>
      <c r="E7" s="39">
        <f t="shared" si="0"/>
        <v>0.17629987318624263</v>
      </c>
      <c r="F7" s="39">
        <f t="shared" si="0"/>
        <v>0.31187861781805903</v>
      </c>
      <c r="G7" s="39" t="e">
        <f t="shared" si="0"/>
        <v>#DIV/0!</v>
      </c>
      <c r="I7" s="34" t="s">
        <v>30</v>
      </c>
      <c r="J7" s="34">
        <v>1055.1000000000001</v>
      </c>
      <c r="K7" s="34">
        <v>82290.899999999994</v>
      </c>
      <c r="L7" s="34">
        <v>2391.3999999999996</v>
      </c>
      <c r="M7" s="34">
        <v>314.10000000000002</v>
      </c>
      <c r="N7" s="34">
        <v>21</v>
      </c>
    </row>
    <row r="8" spans="1:14">
      <c r="A8" s="34"/>
      <c r="B8" s="40"/>
      <c r="C8" s="34"/>
      <c r="D8" s="34"/>
      <c r="E8" s="34"/>
      <c r="F8" s="34"/>
      <c r="G8" s="34"/>
      <c r="I8" s="38" t="s">
        <v>31</v>
      </c>
      <c r="J8" s="38">
        <f>J6+J7</f>
        <v>1919.6000000000001</v>
      </c>
      <c r="K8" s="38">
        <f>K6+K7</f>
        <v>82451.599999999991</v>
      </c>
      <c r="L8" s="38">
        <f>L6+L7</f>
        <v>2919.4999999999995</v>
      </c>
      <c r="M8" s="38">
        <f>M6+M7</f>
        <v>2009.4670000000001</v>
      </c>
      <c r="N8" s="38">
        <f>N6+N7</f>
        <v>21</v>
      </c>
    </row>
    <row r="9" spans="1:14">
      <c r="A9" s="34" t="s">
        <v>124</v>
      </c>
      <c r="B9" s="41">
        <v>7124</v>
      </c>
      <c r="C9" s="34">
        <v>113243</v>
      </c>
      <c r="D9" s="34">
        <v>43251.6</v>
      </c>
      <c r="E9" s="34">
        <v>6020.4</v>
      </c>
      <c r="F9" s="34">
        <v>6854.8</v>
      </c>
      <c r="G9" s="34"/>
      <c r="I9" s="38" t="s">
        <v>32</v>
      </c>
      <c r="J9" s="38">
        <f>(J10+J11-J17-J7)</f>
        <v>1768.3999999999999</v>
      </c>
      <c r="K9" s="38">
        <f>(K10+K11-K17-K7)</f>
        <v>-132135.29999999999</v>
      </c>
      <c r="L9" s="38">
        <f>(L10+L11-L17-L7)</f>
        <v>522.70000000000073</v>
      </c>
      <c r="M9" s="38">
        <f>(M10+M11-M17-M7)</f>
        <v>5636.3</v>
      </c>
      <c r="N9" s="38">
        <f>(N10+N11-N17-N7)</f>
        <v>3851.2999999999993</v>
      </c>
    </row>
    <row r="10" spans="1:14">
      <c r="A10" s="34" t="s">
        <v>125</v>
      </c>
      <c r="B10" s="34">
        <v>-78.899999999999991</v>
      </c>
      <c r="C10" s="34">
        <v>778.19999999999993</v>
      </c>
      <c r="D10" s="34">
        <v>-760.19999999999993</v>
      </c>
      <c r="E10" s="34">
        <v>-30</v>
      </c>
      <c r="F10" s="34">
        <v>70</v>
      </c>
      <c r="G10" s="34"/>
      <c r="I10" s="34" t="s">
        <v>126</v>
      </c>
      <c r="J10" s="34">
        <v>1668.5</v>
      </c>
      <c r="K10" s="34">
        <v>54181.7</v>
      </c>
      <c r="L10" s="34">
        <v>2395.4</v>
      </c>
      <c r="M10" s="34">
        <v>6175.7000000000007</v>
      </c>
      <c r="N10" s="34">
        <v>1797.7</v>
      </c>
    </row>
    <row r="11" spans="1:14">
      <c r="A11" s="34"/>
      <c r="B11" s="34"/>
      <c r="C11" s="34"/>
      <c r="D11" s="34"/>
      <c r="E11" s="34"/>
      <c r="F11" s="34"/>
      <c r="G11" s="34"/>
      <c r="I11" s="34" t="s">
        <v>127</v>
      </c>
      <c r="J11" s="34">
        <v>3934.1000000000004</v>
      </c>
      <c r="K11" s="34">
        <v>25458.899999999998</v>
      </c>
      <c r="L11" s="34">
        <v>10613.900000000001</v>
      </c>
      <c r="M11" s="34">
        <v>1516.2</v>
      </c>
      <c r="N11" s="34">
        <v>2813.8999999999996</v>
      </c>
    </row>
    <row r="12" spans="1:14">
      <c r="A12" s="38" t="s">
        <v>128</v>
      </c>
      <c r="B12" s="38">
        <f t="shared" ref="B12:G12" si="1">(B22+B16+B17)</f>
        <v>632.1</v>
      </c>
      <c r="C12" s="38">
        <f t="shared" si="1"/>
        <v>79061</v>
      </c>
      <c r="D12" s="38">
        <f t="shared" si="1"/>
        <v>1328.7</v>
      </c>
      <c r="E12" s="38">
        <f t="shared" si="1"/>
        <v>1284.7</v>
      </c>
      <c r="F12" s="38">
        <f t="shared" si="1"/>
        <v>363.90000000000003</v>
      </c>
      <c r="G12" s="38">
        <f t="shared" si="1"/>
        <v>0</v>
      </c>
      <c r="I12" s="34" t="s">
        <v>129</v>
      </c>
      <c r="J12" s="34">
        <v>2662.3</v>
      </c>
      <c r="K12" s="34">
        <v>12618</v>
      </c>
      <c r="L12" s="34">
        <v>4726.8</v>
      </c>
      <c r="M12" s="34">
        <v>777.69999999999993</v>
      </c>
      <c r="N12" s="34">
        <v>653.40000000000009</v>
      </c>
    </row>
    <row r="13" spans="1:14">
      <c r="A13" s="38" t="s">
        <v>130</v>
      </c>
      <c r="B13" s="38">
        <f t="shared" ref="B13:G13" si="2">(B23+B19+B20)</f>
        <v>411.6</v>
      </c>
      <c r="C13" s="38">
        <f t="shared" si="2"/>
        <v>-6164.4</v>
      </c>
      <c r="D13" s="38">
        <f t="shared" si="2"/>
        <v>949.19999999999993</v>
      </c>
      <c r="E13" s="38">
        <f t="shared" si="2"/>
        <v>587</v>
      </c>
      <c r="F13" s="38">
        <f t="shared" si="2"/>
        <v>630.19999999999993</v>
      </c>
      <c r="G13" s="38">
        <f t="shared" si="2"/>
        <v>0</v>
      </c>
      <c r="I13" s="34" t="s">
        <v>131</v>
      </c>
      <c r="J13" s="34">
        <v>2624.1000000000004</v>
      </c>
      <c r="K13" s="34">
        <v>11912.6</v>
      </c>
      <c r="L13" s="34">
        <v>4138.6000000000004</v>
      </c>
      <c r="M13" s="34">
        <v>603.80000000000007</v>
      </c>
      <c r="N13" s="34">
        <v>651.70000000000005</v>
      </c>
    </row>
    <row r="14" spans="1:14">
      <c r="A14" s="38" t="s">
        <v>123</v>
      </c>
      <c r="B14" s="39">
        <f t="shared" ref="B14:G14" si="3">((B12/B13)^(1/3)-1)</f>
        <v>0.15372811165243716</v>
      </c>
      <c r="C14" s="39">
        <f t="shared" si="3"/>
        <v>-3.3407614896933415</v>
      </c>
      <c r="D14" s="39">
        <f t="shared" si="3"/>
        <v>0.11863843009586361</v>
      </c>
      <c r="E14" s="39">
        <f t="shared" si="3"/>
        <v>0.29833831688532597</v>
      </c>
      <c r="F14" s="39">
        <f t="shared" si="3"/>
        <v>-0.16727573684581831</v>
      </c>
      <c r="G14" s="39" t="e">
        <f t="shared" si="3"/>
        <v>#DIV/0!</v>
      </c>
      <c r="I14" s="34" t="s">
        <v>132</v>
      </c>
      <c r="J14" s="34">
        <v>616.1</v>
      </c>
      <c r="K14" s="34">
        <v>2641.1000000000004</v>
      </c>
      <c r="L14" s="34">
        <v>3382</v>
      </c>
      <c r="M14" s="34">
        <v>490.79999999999995</v>
      </c>
      <c r="N14" s="34">
        <v>585</v>
      </c>
    </row>
    <row r="15" spans="1:14">
      <c r="A15" s="34"/>
      <c r="B15" s="34"/>
      <c r="C15" s="34"/>
      <c r="D15" s="34"/>
      <c r="E15" s="34"/>
      <c r="F15" s="34"/>
      <c r="G15" s="34"/>
      <c r="I15" s="34" t="s">
        <v>133</v>
      </c>
      <c r="J15" s="34">
        <v>420.90000000000003</v>
      </c>
      <c r="K15" s="34">
        <v>2831.5</v>
      </c>
      <c r="L15" s="34">
        <v>3771.8</v>
      </c>
      <c r="M15" s="34">
        <v>483.5</v>
      </c>
      <c r="N15" s="34">
        <v>629.20000000000005</v>
      </c>
    </row>
    <row r="16" spans="1:14">
      <c r="A16" s="34" t="s">
        <v>159</v>
      </c>
      <c r="B16" s="34">
        <v>135.1</v>
      </c>
      <c r="C16" s="34">
        <v>1357.7</v>
      </c>
      <c r="D16" s="34">
        <v>226.2</v>
      </c>
      <c r="E16" s="34">
        <v>380.2</v>
      </c>
      <c r="F16" s="34">
        <v>177.2</v>
      </c>
      <c r="G16" s="34"/>
      <c r="I16" s="34" t="s">
        <v>34</v>
      </c>
      <c r="J16" s="34">
        <v>135</v>
      </c>
      <c r="K16" s="34">
        <v>1591.2</v>
      </c>
      <c r="L16" s="34">
        <v>168.9</v>
      </c>
      <c r="M16" s="34">
        <v>16</v>
      </c>
      <c r="N16" s="34">
        <v>448.29999999999995</v>
      </c>
    </row>
    <row r="17" spans="1:14">
      <c r="A17" s="34" t="s">
        <v>160</v>
      </c>
      <c r="B17" s="34">
        <v>148.1</v>
      </c>
      <c r="C17" s="34">
        <v>1123.0999999999999</v>
      </c>
      <c r="D17" s="34">
        <v>838.4</v>
      </c>
      <c r="E17" s="34">
        <v>235.5</v>
      </c>
      <c r="F17" s="34">
        <v>18.8</v>
      </c>
      <c r="G17" s="34"/>
      <c r="I17" s="34" t="s">
        <v>136</v>
      </c>
      <c r="J17" s="34">
        <v>2779.1000000000004</v>
      </c>
      <c r="K17" s="34">
        <v>129485</v>
      </c>
      <c r="L17" s="34">
        <v>10095.200000000001</v>
      </c>
      <c r="M17" s="34">
        <v>1741.5</v>
      </c>
      <c r="N17" s="34">
        <v>739.30000000000007</v>
      </c>
    </row>
    <row r="18" spans="1:14">
      <c r="A18" s="34"/>
      <c r="B18" s="34"/>
      <c r="C18" s="34"/>
      <c r="D18" s="34"/>
      <c r="E18" s="34"/>
      <c r="F18" s="34"/>
      <c r="G18" s="34"/>
      <c r="I18" s="34" t="s">
        <v>137</v>
      </c>
      <c r="J18" s="34">
        <v>1520.1</v>
      </c>
      <c r="K18" s="34">
        <v>18690</v>
      </c>
      <c r="L18" s="34">
        <v>7281.5999999999995</v>
      </c>
      <c r="M18" s="34">
        <v>946.5</v>
      </c>
      <c r="N18" s="34">
        <v>368.5</v>
      </c>
    </row>
    <row r="19" spans="1:14">
      <c r="A19" s="34" t="s">
        <v>161</v>
      </c>
      <c r="B19" s="34">
        <v>85.1</v>
      </c>
      <c r="C19" s="34">
        <v>1588.7</v>
      </c>
      <c r="D19" s="34">
        <v>207</v>
      </c>
      <c r="E19" s="34">
        <v>268.7</v>
      </c>
      <c r="F19" s="34">
        <v>203.3</v>
      </c>
      <c r="G19" s="34"/>
      <c r="I19" s="34" t="s">
        <v>139</v>
      </c>
      <c r="J19" s="34">
        <v>1011.1</v>
      </c>
      <c r="K19" s="34">
        <v>25440</v>
      </c>
      <c r="L19" s="34">
        <v>7043.0999999999995</v>
      </c>
      <c r="M19" s="34">
        <v>964.7</v>
      </c>
      <c r="N19" s="34">
        <v>388.2</v>
      </c>
    </row>
    <row r="20" spans="1:14">
      <c r="A20" s="34" t="s">
        <v>162</v>
      </c>
      <c r="B20" s="34">
        <v>213.6</v>
      </c>
      <c r="C20" s="34">
        <v>9605.9</v>
      </c>
      <c r="D20" s="34">
        <v>434.4</v>
      </c>
      <c r="E20" s="34">
        <v>175.2</v>
      </c>
      <c r="F20" s="34">
        <v>15.4</v>
      </c>
      <c r="G20" s="34"/>
      <c r="I20" s="38" t="s">
        <v>36</v>
      </c>
      <c r="J20" s="38">
        <f>J11-J17</f>
        <v>1155</v>
      </c>
      <c r="K20" s="38">
        <f>K11-K17</f>
        <v>-104026.1</v>
      </c>
      <c r="L20" s="38">
        <f>L11-L17</f>
        <v>518.70000000000073</v>
      </c>
      <c r="M20" s="38">
        <f>M11-M17</f>
        <v>-225.29999999999995</v>
      </c>
      <c r="N20" s="38">
        <f>N11-N17</f>
        <v>2074.5999999999995</v>
      </c>
    </row>
    <row r="21" spans="1:14">
      <c r="A21" s="34"/>
      <c r="B21" s="34"/>
      <c r="C21" s="34"/>
      <c r="D21" s="34"/>
      <c r="E21" s="34"/>
      <c r="F21" s="34"/>
      <c r="G21" s="34"/>
    </row>
    <row r="22" spans="1:14">
      <c r="A22" s="34" t="s">
        <v>163</v>
      </c>
      <c r="B22" s="34">
        <v>348.9</v>
      </c>
      <c r="C22" s="34">
        <v>76580.2</v>
      </c>
      <c r="D22" s="34">
        <v>264.10000000000002</v>
      </c>
      <c r="E22" s="34">
        <v>669</v>
      </c>
      <c r="F22" s="34">
        <v>167.9</v>
      </c>
      <c r="G22" s="34"/>
    </row>
    <row r="23" spans="1:14">
      <c r="A23" s="34" t="s">
        <v>164</v>
      </c>
      <c r="B23" s="34">
        <v>112.9</v>
      </c>
      <c r="C23" s="34">
        <v>-17359</v>
      </c>
      <c r="D23" s="34">
        <v>307.8</v>
      </c>
      <c r="E23" s="34">
        <v>143.1</v>
      </c>
      <c r="F23" s="34">
        <v>411.5</v>
      </c>
      <c r="G23" s="34"/>
    </row>
    <row r="24" spans="1:14">
      <c r="A24" s="34"/>
      <c r="B24" s="34"/>
      <c r="C24" s="34"/>
      <c r="D24" s="34"/>
      <c r="E24" s="34"/>
      <c r="F24" s="34"/>
      <c r="G24" s="34"/>
    </row>
    <row r="25" spans="1:14">
      <c r="A25" s="34" t="s">
        <v>165</v>
      </c>
      <c r="B25" s="34">
        <v>258.5</v>
      </c>
      <c r="C25" s="34">
        <v>76720</v>
      </c>
      <c r="D25" s="34">
        <v>191.9</v>
      </c>
      <c r="E25" s="34">
        <v>497</v>
      </c>
      <c r="F25" s="34">
        <v>222.1</v>
      </c>
      <c r="G25" s="34"/>
      <c r="I25" s="34" t="s">
        <v>37</v>
      </c>
      <c r="J25" s="34"/>
      <c r="K25" s="34"/>
      <c r="L25" s="34"/>
      <c r="M25" s="34"/>
      <c r="N25" s="34"/>
    </row>
    <row r="26" spans="1:14">
      <c r="A26" s="34" t="s">
        <v>166</v>
      </c>
      <c r="B26" s="34">
        <v>97.6</v>
      </c>
      <c r="C26" s="34">
        <v>-13617.8</v>
      </c>
      <c r="D26" s="34">
        <v>200.1</v>
      </c>
      <c r="E26" s="34">
        <v>144.80000000000001</v>
      </c>
      <c r="F26" s="34">
        <v>326.8</v>
      </c>
      <c r="G26" s="34"/>
      <c r="I26" s="34" t="s">
        <v>58</v>
      </c>
      <c r="J26" s="42">
        <v>17433000</v>
      </c>
      <c r="K26" s="42">
        <v>334100722</v>
      </c>
      <c r="L26" s="43">
        <v>131895000</v>
      </c>
      <c r="M26" s="42">
        <v>28799268</v>
      </c>
      <c r="N26" s="42">
        <v>9367111</v>
      </c>
    </row>
    <row r="27" spans="1:14">
      <c r="A27" s="38" t="s">
        <v>123</v>
      </c>
      <c r="B27" s="39">
        <f t="shared" ref="B27:G27" si="4">((B25/B26)^(1/3)-1)</f>
        <v>0.38357777323800768</v>
      </c>
      <c r="C27" s="39">
        <f t="shared" si="4"/>
        <v>-2.779373892586249</v>
      </c>
      <c r="D27" s="39">
        <f t="shared" si="4"/>
        <v>-1.3850795552576511E-2</v>
      </c>
      <c r="E27" s="39">
        <f t="shared" si="4"/>
        <v>0.50844429076307396</v>
      </c>
      <c r="F27" s="39">
        <f t="shared" si="4"/>
        <v>-0.12079765675517373</v>
      </c>
      <c r="G27" s="39" t="e">
        <f t="shared" si="4"/>
        <v>#DIV/0!</v>
      </c>
      <c r="I27" s="34" t="s">
        <v>59</v>
      </c>
      <c r="J27" s="38">
        <f>J26*J31/1000000</f>
        <v>1725.867</v>
      </c>
      <c r="K27" s="38">
        <f>K26*K31/1000000</f>
        <v>2261.8618879400001</v>
      </c>
      <c r="L27" s="38">
        <f>L26*L31/1000000</f>
        <v>1503.6030000000001</v>
      </c>
      <c r="M27" s="38">
        <f>M26*M31/1000000</f>
        <v>4031.89752</v>
      </c>
      <c r="N27" s="38">
        <f>N26*N31/1000000</f>
        <v>4599.2515009999997</v>
      </c>
    </row>
    <row r="28" spans="1:14">
      <c r="A28" s="34"/>
      <c r="B28" s="34"/>
      <c r="C28" s="34"/>
      <c r="D28" s="34"/>
      <c r="E28" s="34"/>
      <c r="F28" s="34"/>
      <c r="G28" s="34"/>
      <c r="I28" s="34" t="s">
        <v>62</v>
      </c>
      <c r="J28" s="38">
        <f>J8</f>
        <v>1919.6000000000001</v>
      </c>
      <c r="K28" s="38">
        <f>K8</f>
        <v>82451.599999999991</v>
      </c>
      <c r="L28" s="38">
        <f>L8</f>
        <v>2919.4999999999995</v>
      </c>
      <c r="M28" s="38">
        <f>M8</f>
        <v>2009.4670000000001</v>
      </c>
      <c r="N28" s="38">
        <f>N8</f>
        <v>21</v>
      </c>
    </row>
    <row r="29" spans="1:14">
      <c r="A29" s="34" t="s">
        <v>167</v>
      </c>
      <c r="B29" s="34">
        <v>24.55</v>
      </c>
      <c r="C29" s="34">
        <v>-0.32</v>
      </c>
      <c r="D29" s="34">
        <v>0.83</v>
      </c>
      <c r="E29" s="34">
        <v>8.26</v>
      </c>
      <c r="F29" s="34">
        <v>33.479999999999997</v>
      </c>
      <c r="G29" s="34"/>
      <c r="I29" s="34" t="s">
        <v>60</v>
      </c>
      <c r="J29" s="38">
        <f>J16</f>
        <v>135</v>
      </c>
      <c r="K29" s="38">
        <f>K16</f>
        <v>1591.2</v>
      </c>
      <c r="L29" s="38">
        <f>L16</f>
        <v>168.9</v>
      </c>
      <c r="M29" s="38">
        <f>M16</f>
        <v>16</v>
      </c>
      <c r="N29" s="38">
        <f>N16</f>
        <v>448.29999999999995</v>
      </c>
    </row>
    <row r="30" spans="1:14">
      <c r="I30" s="34" t="s">
        <v>61</v>
      </c>
      <c r="J30" s="18">
        <f>J27+J28-J29</f>
        <v>3510.4670000000001</v>
      </c>
      <c r="K30" s="18">
        <f>K27+K28-K29</f>
        <v>83122.261887939996</v>
      </c>
      <c r="L30" s="18">
        <f>L27+L28-L29</f>
        <v>4254.2029999999995</v>
      </c>
      <c r="M30" s="18">
        <f>M27+M28-M29</f>
        <v>6025.3645200000001</v>
      </c>
      <c r="N30" s="18">
        <f>N27+N28-N29</f>
        <v>4171.9515009999996</v>
      </c>
    </row>
    <row r="31" spans="1:14">
      <c r="I31" s="34" t="s">
        <v>39</v>
      </c>
      <c r="J31" s="34">
        <v>99</v>
      </c>
      <c r="K31" s="34">
        <v>6.77</v>
      </c>
      <c r="L31" s="34">
        <v>11.4</v>
      </c>
      <c r="M31" s="34">
        <v>140</v>
      </c>
      <c r="N31" s="34">
        <v>491</v>
      </c>
    </row>
    <row r="32" spans="1:14">
      <c r="I32" s="34" t="s">
        <v>40</v>
      </c>
      <c r="J32" s="38">
        <f>B29</f>
        <v>24.55</v>
      </c>
      <c r="K32" s="38">
        <f>C29</f>
        <v>-0.32</v>
      </c>
      <c r="L32" s="38">
        <f>D29</f>
        <v>0.83</v>
      </c>
      <c r="M32" s="38">
        <f>E29</f>
        <v>8.26</v>
      </c>
      <c r="N32" s="38">
        <f>F29</f>
        <v>33.479999999999997</v>
      </c>
    </row>
    <row r="33" spans="9:14">
      <c r="I33" s="34" t="s">
        <v>41</v>
      </c>
      <c r="J33" s="44">
        <f>J31*1000000/J26</f>
        <v>5.678884873515746</v>
      </c>
      <c r="K33" s="44">
        <f>K31*1000000/K26</f>
        <v>2.026335040365462E-2</v>
      </c>
      <c r="L33" s="44">
        <f>L31*1000000/L26</f>
        <v>8.6432389400659615E-2</v>
      </c>
      <c r="M33" s="44">
        <f>M31*1000000/M26</f>
        <v>4.8612346674922433</v>
      </c>
      <c r="N33" s="44">
        <f>N31*1000000/N26</f>
        <v>52.41744226154681</v>
      </c>
    </row>
    <row r="34" spans="9:14">
      <c r="I34" s="34" t="s">
        <v>43</v>
      </c>
      <c r="J34" s="44">
        <f>J31/J32</f>
        <v>4.0325865580448061</v>
      </c>
      <c r="K34" s="44">
        <f>K31/K32</f>
        <v>-21.15625</v>
      </c>
      <c r="L34" s="44">
        <f>L31/L32</f>
        <v>13.734939759036145</v>
      </c>
      <c r="M34" s="44">
        <f>M31/M32</f>
        <v>16.949152542372882</v>
      </c>
      <c r="N34" s="44">
        <f>N31/N32</f>
        <v>14.66547192353644</v>
      </c>
    </row>
    <row r="35" spans="9:14">
      <c r="I35" s="34" t="s">
        <v>44</v>
      </c>
      <c r="J35" s="45">
        <f>J31/J33</f>
        <v>17.433</v>
      </c>
      <c r="K35" s="45">
        <f>K31/K33</f>
        <v>334.10072199999996</v>
      </c>
      <c r="L35" s="45">
        <f>L31/L33</f>
        <v>131.89500000000001</v>
      </c>
      <c r="M35" s="45">
        <f>M31/M33</f>
        <v>28.799267999999998</v>
      </c>
      <c r="N35" s="45">
        <f>N31/N33</f>
        <v>9.3671109999999995</v>
      </c>
    </row>
    <row r="36" spans="9:14">
      <c r="I36" s="34" t="s">
        <v>45</v>
      </c>
      <c r="J36" s="44">
        <f>J30/B12</f>
        <v>5.553657649106154</v>
      </c>
      <c r="K36" s="44">
        <f>K30/C12</f>
        <v>1.0513687138783976</v>
      </c>
      <c r="L36" s="44">
        <f>L30/D12</f>
        <v>3.2017784300444037</v>
      </c>
      <c r="M36" s="44">
        <f>M30/E12</f>
        <v>4.6900945901766953</v>
      </c>
      <c r="N36" s="44">
        <f>N30/F12</f>
        <v>11.464554825501509</v>
      </c>
    </row>
    <row r="37" spans="9:14">
      <c r="I37" s="34" t="s">
        <v>46</v>
      </c>
      <c r="J37" s="46">
        <f>B25/J5</f>
        <v>0.14136497867220824</v>
      </c>
      <c r="K37" s="46">
        <f>C25/K5</f>
        <v>-1.5274278721860621</v>
      </c>
      <c r="L37" s="46">
        <f>D25/L5</f>
        <v>8.1774406613542433E-2</v>
      </c>
      <c r="M37" s="46">
        <f>E25/M5</f>
        <v>0.12491203377902885</v>
      </c>
      <c r="N37" s="46">
        <f>F25/N5</f>
        <v>6.0098495508171881E-2</v>
      </c>
    </row>
    <row r="38" spans="9:14">
      <c r="I38" s="34" t="s">
        <v>47</v>
      </c>
      <c r="J38" s="46">
        <f>(B22+B20)/J9</f>
        <v>0.31808414385885547</v>
      </c>
      <c r="K38" s="46">
        <f>(C22+C20)/K9</f>
        <v>-0.65225643715191928</v>
      </c>
      <c r="L38" s="46">
        <f>(D22+D17)/L9</f>
        <v>2.1092404821121074</v>
      </c>
      <c r="M38" s="46">
        <f>(E22+E20)/M9</f>
        <v>0.14977911040931108</v>
      </c>
      <c r="N38" s="46">
        <f>(F22+F20)/N9</f>
        <v>4.7594318801443679E-2</v>
      </c>
    </row>
    <row r="39" spans="9:14">
      <c r="I39" s="34" t="s">
        <v>48</v>
      </c>
      <c r="J39" s="44">
        <f>J8/J5</f>
        <v>1.0497648474242589</v>
      </c>
      <c r="K39" s="44">
        <f>K8/K5</f>
        <v>-1.6415389982577724</v>
      </c>
      <c r="L39" s="44">
        <f>L8/L5</f>
        <v>1.2440874419397452</v>
      </c>
      <c r="M39" s="44">
        <f>M8/M5</f>
        <v>0.50504348044636571</v>
      </c>
      <c r="N39" s="44">
        <f>N8/N5</f>
        <v>5.6824331637623125E-3</v>
      </c>
    </row>
    <row r="40" spans="9:14">
      <c r="I40" s="34" t="s">
        <v>49</v>
      </c>
      <c r="J40" s="44">
        <f>(J8-J16)/J5</f>
        <v>0.97593787597068793</v>
      </c>
      <c r="K40" s="44">
        <f>(K8-K16)/K5</f>
        <v>-1.6098596026605037</v>
      </c>
      <c r="L40" s="44">
        <f>(L8-L16)/L5</f>
        <v>1.1721140324711294</v>
      </c>
      <c r="M40" s="44">
        <f>(M8-M16)/M5</f>
        <v>0.50102216748768469</v>
      </c>
      <c r="N40" s="44">
        <f>(N8-N16)/N5</f>
        <v>-0.11562398527979217</v>
      </c>
    </row>
    <row r="41" spans="9:14">
      <c r="I41" s="34" t="s">
        <v>146</v>
      </c>
      <c r="J41" s="34">
        <v>1.2</v>
      </c>
      <c r="K41" s="34">
        <v>0</v>
      </c>
      <c r="L41" s="34">
        <v>0</v>
      </c>
      <c r="M41" s="34">
        <v>0</v>
      </c>
      <c r="N41" s="34">
        <v>0</v>
      </c>
    </row>
    <row r="42" spans="9:14">
      <c r="I42" s="34" t="s">
        <v>50</v>
      </c>
      <c r="J42" s="38">
        <f>J41/J31</f>
        <v>1.2121212121212121E-2</v>
      </c>
      <c r="K42" s="38">
        <f>K41/K31</f>
        <v>0</v>
      </c>
      <c r="L42" s="38">
        <f>L41/L31</f>
        <v>0</v>
      </c>
      <c r="M42" s="38">
        <f>M41/M31</f>
        <v>0</v>
      </c>
      <c r="N42" s="38">
        <f>N41/N31</f>
        <v>0</v>
      </c>
    </row>
    <row r="43" spans="9:14">
      <c r="I43" s="34" t="s">
        <v>51</v>
      </c>
      <c r="J43" s="47">
        <f>AVERAGE(J14:J15)/B5*365</f>
        <v>20.941960827708311</v>
      </c>
      <c r="K43" s="47">
        <f>AVERAGE(K14:K15)/C5*365</f>
        <v>7.5804310128593331</v>
      </c>
      <c r="L43" s="47">
        <f>AVERAGE(L14:L15)/D5*365</f>
        <v>23.312090535373578</v>
      </c>
      <c r="M43" s="47">
        <f>AVERAGE(M14:M15)/E5*365</f>
        <v>14.029146359841286</v>
      </c>
      <c r="N43" s="47">
        <f>AVERAGE(N14:N15)/F5*365</f>
        <v>11.523528739696227</v>
      </c>
    </row>
    <row r="44" spans="9:14">
      <c r="I44" s="34" t="s">
        <v>52</v>
      </c>
      <c r="J44" s="47">
        <f>AVERAGE(J18:J19)/B9*365</f>
        <v>64.843346434587303</v>
      </c>
      <c r="K44" s="47">
        <f>AVERAGE(K18:K19)/C9*365</f>
        <v>71.118965410665552</v>
      </c>
      <c r="L44" s="47">
        <f>AVERAGE(L18:L19)/D9*365</f>
        <v>60.443029853230854</v>
      </c>
      <c r="M44" s="47">
        <f>AVERAGE(M18:M19)/E9*365</f>
        <v>57.935353132682216</v>
      </c>
      <c r="N44" s="47">
        <f>AVERAGE(N18:N19)/F9*365</f>
        <v>20.146138472311375</v>
      </c>
    </row>
    <row r="45" spans="9:14">
      <c r="I45" s="34" t="s">
        <v>53</v>
      </c>
      <c r="J45" s="47">
        <f>AVERAGE(J12:J13)/(B9+B10)*365</f>
        <v>136.94170416317723</v>
      </c>
      <c r="K45" s="47">
        <f>AVERAGE(K12:K13)/(C9+C10)*365</f>
        <v>39.263176497002313</v>
      </c>
      <c r="L45" s="47">
        <f>AVERAGE(L12:L13)/(D9+D10)*365</f>
        <v>38.07677553575548</v>
      </c>
      <c r="M45" s="47">
        <f>AVERAGE(M12:M13)/(E9+E10)*365</f>
        <v>42.087965745192307</v>
      </c>
      <c r="N45" s="47">
        <f>AVERAGE(N12:N13)/(F9+F10)*365</f>
        <v>34.395325496765253</v>
      </c>
    </row>
    <row r="46" spans="9:14">
      <c r="I46" s="34" t="s">
        <v>65</v>
      </c>
      <c r="J46" s="47">
        <f>J43+J45-J44</f>
        <v>93.040318556298232</v>
      </c>
      <c r="K46" s="47">
        <f>K43+K45-K44</f>
        <v>-24.275357900803904</v>
      </c>
      <c r="L46" s="47">
        <f>L43+L45-L44</f>
        <v>0.94583621789820427</v>
      </c>
      <c r="M46" s="47">
        <f>M43+M45-M44</f>
        <v>-1.8182410276486252</v>
      </c>
      <c r="N46" s="47">
        <f>N43+N45-N44</f>
        <v>25.772715764150103</v>
      </c>
    </row>
    <row r="47" spans="9:14">
      <c r="I47" s="34" t="s">
        <v>54</v>
      </c>
      <c r="J47" s="47">
        <f>J20/B5*365</f>
        <v>46.649883810999228</v>
      </c>
      <c r="K47" s="47">
        <f>K20/C5*365</f>
        <v>-288.18575250769516</v>
      </c>
      <c r="L47" s="47">
        <f>L20/D5*365</f>
        <v>3.3805757389634294</v>
      </c>
      <c r="M47" s="47">
        <f>M20/E5*365</f>
        <v>-6.4882822023447417</v>
      </c>
      <c r="N47" s="47">
        <f>N20/F5*365</f>
        <v>39.378541794389363</v>
      </c>
    </row>
    <row r="48" spans="9:14">
      <c r="I48" s="34" t="s">
        <v>66</v>
      </c>
      <c r="J48" s="39">
        <f>B17/J8</f>
        <v>7.7151489893727845E-2</v>
      </c>
      <c r="K48" s="39">
        <f>C17/K8</f>
        <v>1.3621324510379423E-2</v>
      </c>
      <c r="L48" s="39">
        <f>D17/L8</f>
        <v>0.28717246103784899</v>
      </c>
      <c r="M48" s="39">
        <f>E17/M8</f>
        <v>0.11719525625451922</v>
      </c>
      <c r="N48" s="39">
        <f>F17/N8</f>
        <v>0.89523809523809528</v>
      </c>
    </row>
    <row r="49" spans="9:14">
      <c r="I49" s="34" t="s">
        <v>147</v>
      </c>
      <c r="J49" s="44">
        <f>J10/B5</f>
        <v>0.18462985504038951</v>
      </c>
      <c r="K49" s="44">
        <f>K10/C5</f>
        <v>0.41123488823718107</v>
      </c>
      <c r="L49" s="44">
        <f>L10/D5</f>
        <v>4.277200443211817E-2</v>
      </c>
      <c r="M49" s="44">
        <f>M10/E5</f>
        <v>0.48726123946786853</v>
      </c>
      <c r="N49" s="44">
        <f>N10/F5</f>
        <v>9.348665276128329E-2</v>
      </c>
    </row>
    <row r="50" spans="9:14">
      <c r="I50" s="34" t="s">
        <v>148</v>
      </c>
      <c r="J50" s="44">
        <f>(B22+B17)/B17</f>
        <v>3.3558406482106684</v>
      </c>
      <c r="K50" s="44">
        <f>(C22+C17)/C17</f>
        <v>69.186448223666645</v>
      </c>
      <c r="L50" s="44">
        <f>(D22+D17)/D17</f>
        <v>1.3150047709923665</v>
      </c>
      <c r="M50" s="44">
        <f>(E22+E17)/E17</f>
        <v>3.8407643312101909</v>
      </c>
      <c r="N50" s="44">
        <f>(F22+F17)/F17</f>
        <v>9.9308510638297882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Sheela Foam Income Statement</vt:lpstr>
      <vt:lpstr>Quarterly Operational Performan</vt:lpstr>
      <vt:lpstr>Peer Comparison</vt:lpstr>
      <vt:lpstr>Working</vt:lpstr>
      <vt:lpstr>Peer Comparison .</vt:lpstr>
      <vt:lpstr>Quarterly</vt:lpstr>
      <vt:lpstr>Workin.</vt:lpstr>
      <vt:lpstr>'Sheela Foam 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v1</cp:lastModifiedBy>
  <cp:lastPrinted>2020-11-20T08:42:44Z</cp:lastPrinted>
  <dcterms:created xsi:type="dcterms:W3CDTF">2017-09-19T08:05:47Z</dcterms:created>
  <dcterms:modified xsi:type="dcterms:W3CDTF">2023-06-09T09:58:52Z</dcterms:modified>
</cp:coreProperties>
</file>