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eep\Downloads\"/>
    </mc:Choice>
  </mc:AlternateContent>
  <bookViews>
    <workbookView xWindow="0" yWindow="0" windowWidth="20496" windowHeight="7752"/>
  </bookViews>
  <sheets>
    <sheet name="Consolidated" sheetId="1" r:id="rId1"/>
  </sheets>
  <definedNames>
    <definedName name="_xlnm.Print_Area" localSheetId="0">Consolidated!$A$1:$U$78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68" i="1" l="1"/>
  <c r="W29" i="1"/>
  <c r="K32" i="1"/>
  <c r="K30" i="1"/>
  <c r="K29" i="1"/>
  <c r="K17" i="1"/>
  <c r="K16" i="1"/>
  <c r="K8" i="1"/>
  <c r="K7" i="1"/>
  <c r="W64" i="1" l="1"/>
  <c r="W61" i="1"/>
  <c r="W59" i="1"/>
  <c r="W62" i="1" s="1"/>
  <c r="W22" i="1"/>
  <c r="K46" i="1" l="1"/>
  <c r="J46" i="1"/>
  <c r="I46" i="1"/>
  <c r="H46" i="1"/>
  <c r="G46" i="1"/>
  <c r="K54" i="1" l="1"/>
  <c r="K52" i="1"/>
  <c r="K48" i="1"/>
  <c r="K42" i="1"/>
  <c r="W58" i="1"/>
  <c r="W38" i="1"/>
  <c r="W10" i="1"/>
  <c r="W6" i="1"/>
  <c r="K9" i="1"/>
  <c r="W48" i="1" l="1"/>
  <c r="K55" i="1"/>
  <c r="W63" i="1" s="1"/>
  <c r="W53" i="1"/>
  <c r="W15" i="1" s="1"/>
  <c r="W54" i="1"/>
  <c r="W14" i="1"/>
  <c r="W65" i="1" s="1"/>
  <c r="K15" i="1"/>
  <c r="K6" i="1"/>
  <c r="K21" i="1" l="1"/>
  <c r="K18" i="1"/>
  <c r="I54" i="1"/>
  <c r="H54" i="1"/>
  <c r="G54" i="1"/>
  <c r="J54" i="1"/>
  <c r="G47" i="1"/>
  <c r="G9" i="1"/>
  <c r="G15" i="1" s="1"/>
  <c r="H9" i="1"/>
  <c r="H15" i="1" s="1"/>
  <c r="H18" i="1" s="1"/>
  <c r="I9" i="1"/>
  <c r="I15" i="1" s="1"/>
  <c r="I18" i="1" s="1"/>
  <c r="J9" i="1"/>
  <c r="J15" i="1" s="1"/>
  <c r="J18" i="1" s="1"/>
  <c r="K23" i="1" l="1"/>
  <c r="K24" i="1"/>
  <c r="K25" i="1" s="1"/>
  <c r="G18" i="1"/>
  <c r="K28" i="1" l="1"/>
  <c r="U38" i="1"/>
  <c r="T38" i="1"/>
  <c r="S38" i="1"/>
  <c r="V68" i="1"/>
  <c r="V6" i="1"/>
  <c r="V38" i="1"/>
  <c r="V22" i="1"/>
  <c r="V8" i="1"/>
  <c r="V10" i="1" s="1"/>
  <c r="J5" i="1"/>
  <c r="J21" i="1" s="1"/>
  <c r="V14" i="1" l="1"/>
  <c r="P68" i="1"/>
  <c r="O68" i="1"/>
  <c r="N68" i="1"/>
  <c r="F54" i="1"/>
  <c r="D54" i="1"/>
  <c r="C54" i="1"/>
  <c r="B54" i="1"/>
  <c r="J52" i="1"/>
  <c r="I52" i="1"/>
  <c r="H52" i="1"/>
  <c r="G52" i="1"/>
  <c r="F52" i="1"/>
  <c r="E52" i="1"/>
  <c r="D52" i="1"/>
  <c r="C52" i="1"/>
  <c r="B52" i="1"/>
  <c r="V58" i="1"/>
  <c r="V61" i="1" s="1"/>
  <c r="U58" i="1"/>
  <c r="U61" i="1" s="1"/>
  <c r="T58" i="1"/>
  <c r="T61" i="1" s="1"/>
  <c r="S58" i="1"/>
  <c r="S61" i="1" s="1"/>
  <c r="R58" i="1"/>
  <c r="Q58" i="1"/>
  <c r="Q61" i="1" s="1"/>
  <c r="P58" i="1"/>
  <c r="P61" i="1" s="1"/>
  <c r="O58" i="1"/>
  <c r="O61" i="1" s="1"/>
  <c r="N58" i="1"/>
  <c r="N61" i="1" s="1"/>
  <c r="D47" i="1"/>
  <c r="C47" i="1"/>
  <c r="E43" i="1"/>
  <c r="D43" i="1"/>
  <c r="C43" i="1"/>
  <c r="B43" i="1"/>
  <c r="J42" i="1"/>
  <c r="I42" i="1"/>
  <c r="H42" i="1"/>
  <c r="G42" i="1"/>
  <c r="G43" i="1" s="1"/>
  <c r="H38" i="1" s="1"/>
  <c r="F42" i="1"/>
  <c r="F43" i="1" s="1"/>
  <c r="R38" i="1"/>
  <c r="Q38" i="1"/>
  <c r="P38" i="1"/>
  <c r="O38" i="1"/>
  <c r="N38" i="1"/>
  <c r="J32" i="1"/>
  <c r="I32" i="1"/>
  <c r="H32" i="1"/>
  <c r="D32" i="1"/>
  <c r="C32" i="1"/>
  <c r="Q33" i="1"/>
  <c r="Q29" i="1" s="1"/>
  <c r="V29" i="1"/>
  <c r="V53" i="1" s="1"/>
  <c r="V15" i="1" s="1"/>
  <c r="U29" i="1"/>
  <c r="T29" i="1"/>
  <c r="S29" i="1"/>
  <c r="R29" i="1"/>
  <c r="R53" i="1" s="1"/>
  <c r="P29" i="1"/>
  <c r="P53" i="1" s="1"/>
  <c r="O29" i="1"/>
  <c r="O53" i="1" s="1"/>
  <c r="N29" i="1"/>
  <c r="N53" i="1" s="1"/>
  <c r="E22" i="1"/>
  <c r="U22" i="1"/>
  <c r="T22" i="1"/>
  <c r="S22" i="1"/>
  <c r="E14" i="1"/>
  <c r="E9" i="1" s="1"/>
  <c r="U10" i="1"/>
  <c r="T10" i="1"/>
  <c r="S10" i="1"/>
  <c r="R10" i="1"/>
  <c r="F53" i="1" s="1"/>
  <c r="Q10" i="1"/>
  <c r="P10" i="1"/>
  <c r="O10" i="1"/>
  <c r="N10" i="1"/>
  <c r="B53" i="1" s="1"/>
  <c r="F9" i="1"/>
  <c r="D9" i="1"/>
  <c r="C9" i="1"/>
  <c r="B9" i="1"/>
  <c r="U6" i="1"/>
  <c r="T6" i="1"/>
  <c r="T14" i="1" s="1"/>
  <c r="T65" i="1" s="1"/>
  <c r="S6" i="1"/>
  <c r="S14" i="1" s="1"/>
  <c r="S65" i="1" s="1"/>
  <c r="R6" i="1"/>
  <c r="Q6" i="1"/>
  <c r="Q59" i="1" s="1"/>
  <c r="Q62" i="1" s="1"/>
  <c r="P6" i="1"/>
  <c r="P59" i="1" s="1"/>
  <c r="P62" i="1" s="1"/>
  <c r="O6" i="1"/>
  <c r="N6" i="1"/>
  <c r="F6" i="1"/>
  <c r="E6" i="1"/>
  <c r="D6" i="1"/>
  <c r="C6" i="1"/>
  <c r="B6" i="1"/>
  <c r="J6" i="1"/>
  <c r="I5" i="1"/>
  <c r="H5" i="1"/>
  <c r="G5" i="1"/>
  <c r="U14" i="1" l="1"/>
  <c r="U65" i="1" s="1"/>
  <c r="H6" i="1"/>
  <c r="H21" i="1"/>
  <c r="G6" i="1"/>
  <c r="J8" i="1" s="1"/>
  <c r="G21" i="1"/>
  <c r="I6" i="1"/>
  <c r="I7" i="1" s="1"/>
  <c r="I21" i="1"/>
  <c r="G48" i="1"/>
  <c r="H43" i="1"/>
  <c r="I38" i="1" s="1"/>
  <c r="I43" i="1" s="1"/>
  <c r="J38" i="1" s="1"/>
  <c r="J43" i="1" s="1"/>
  <c r="K38" i="1" s="1"/>
  <c r="K43" i="1" s="1"/>
  <c r="N15" i="1"/>
  <c r="P54" i="1"/>
  <c r="U54" i="1"/>
  <c r="F15" i="1"/>
  <c r="B15" i="1"/>
  <c r="B18" i="1" s="1"/>
  <c r="P14" i="1"/>
  <c r="N48" i="1"/>
  <c r="O66" i="1"/>
  <c r="C15" i="1"/>
  <c r="C21" i="1" s="1"/>
  <c r="T59" i="1"/>
  <c r="T62" i="1" s="1"/>
  <c r="F7" i="1"/>
  <c r="Q14" i="1"/>
  <c r="P15" i="1"/>
  <c r="U59" i="1"/>
  <c r="U62" i="1" s="1"/>
  <c r="E54" i="1"/>
  <c r="B55" i="1"/>
  <c r="Q54" i="1"/>
  <c r="S53" i="1"/>
  <c r="S15" i="1" s="1"/>
  <c r="R15" i="1"/>
  <c r="R48" i="1"/>
  <c r="J55" i="1"/>
  <c r="V48" i="1"/>
  <c r="U53" i="1"/>
  <c r="U15" i="1" s="1"/>
  <c r="U48" i="1"/>
  <c r="O54" i="1"/>
  <c r="O48" i="1"/>
  <c r="S54" i="1"/>
  <c r="S48" i="1"/>
  <c r="D53" i="1"/>
  <c r="D55" i="1" s="1"/>
  <c r="P67" i="1"/>
  <c r="P66" i="1"/>
  <c r="Q53" i="1"/>
  <c r="Q15" i="1" s="1"/>
  <c r="Q48" i="1"/>
  <c r="N59" i="1"/>
  <c r="N62" i="1" s="1"/>
  <c r="N14" i="1"/>
  <c r="N16" i="1" s="1"/>
  <c r="R14" i="1"/>
  <c r="V59" i="1"/>
  <c r="V62" i="1" s="1"/>
  <c r="N67" i="1"/>
  <c r="D15" i="1"/>
  <c r="O15" i="1"/>
  <c r="O59" i="1"/>
  <c r="O62" i="1" s="1"/>
  <c r="O14" i="1"/>
  <c r="S59" i="1"/>
  <c r="S62" i="1" s="1"/>
  <c r="C53" i="1"/>
  <c r="T53" i="1"/>
  <c r="T15" i="1" s="1"/>
  <c r="N54" i="1"/>
  <c r="R54" i="1"/>
  <c r="V54" i="1"/>
  <c r="T54" i="1"/>
  <c r="C55" i="1"/>
  <c r="O67" i="1"/>
  <c r="E15" i="1"/>
  <c r="P48" i="1"/>
  <c r="T48" i="1"/>
  <c r="Q66" i="1"/>
  <c r="Q67" i="1"/>
  <c r="E53" i="1"/>
  <c r="N66" i="1"/>
  <c r="J7" i="1" l="1"/>
  <c r="H7" i="1"/>
  <c r="N63" i="1"/>
  <c r="C18" i="1"/>
  <c r="F18" i="1"/>
  <c r="F21" i="1"/>
  <c r="F24" i="1" s="1"/>
  <c r="O63" i="1"/>
  <c r="B21" i="1"/>
  <c r="B23" i="1" s="1"/>
  <c r="E55" i="1"/>
  <c r="Q63" i="1" s="1"/>
  <c r="V63" i="1"/>
  <c r="I16" i="1"/>
  <c r="H16" i="1"/>
  <c r="P63" i="1"/>
  <c r="J16" i="1"/>
  <c r="V65" i="1"/>
  <c r="J17" i="1"/>
  <c r="E21" i="1"/>
  <c r="Q65" i="1"/>
  <c r="E18" i="1"/>
  <c r="P65" i="1"/>
  <c r="D21" i="1"/>
  <c r="D18" i="1"/>
  <c r="C23" i="1"/>
  <c r="O65" i="1"/>
  <c r="C24" i="1"/>
  <c r="N65" i="1" l="1"/>
  <c r="F23" i="1"/>
  <c r="B24" i="1"/>
  <c r="F28" i="1"/>
  <c r="F25" i="1"/>
  <c r="B46" i="1"/>
  <c r="C46" i="1"/>
  <c r="C48" i="1" s="1"/>
  <c r="J24" i="1"/>
  <c r="V64" i="1" s="1"/>
  <c r="J23" i="1"/>
  <c r="J48" i="1"/>
  <c r="E24" i="1"/>
  <c r="E46" i="1"/>
  <c r="E48" i="1" s="1"/>
  <c r="E23" i="1"/>
  <c r="G23" i="1"/>
  <c r="G24" i="1"/>
  <c r="S64" i="1" s="1"/>
  <c r="C28" i="1"/>
  <c r="C25" i="1"/>
  <c r="O64" i="1"/>
  <c r="N64" i="1"/>
  <c r="B28" i="1"/>
  <c r="B25" i="1"/>
  <c r="D46" i="1"/>
  <c r="D48" i="1" s="1"/>
  <c r="D24" i="1"/>
  <c r="D23" i="1"/>
  <c r="H24" i="1"/>
  <c r="T64" i="1" s="1"/>
  <c r="H23" i="1"/>
  <c r="I48" i="1"/>
  <c r="I24" i="1"/>
  <c r="U64" i="1" s="1"/>
  <c r="I23" i="1"/>
  <c r="H48" i="1" l="1"/>
  <c r="P64" i="1"/>
  <c r="D25" i="1"/>
  <c r="D28" i="1"/>
  <c r="D29" i="1" s="1"/>
  <c r="G28" i="1"/>
  <c r="G25" i="1"/>
  <c r="E25" i="1"/>
  <c r="Q64" i="1"/>
  <c r="E28" i="1"/>
  <c r="H25" i="1"/>
  <c r="H28" i="1"/>
  <c r="I25" i="1"/>
  <c r="I28" i="1"/>
  <c r="C29" i="1"/>
  <c r="J28" i="1"/>
  <c r="J25" i="1"/>
  <c r="H29" i="1" l="1"/>
  <c r="I29" i="1"/>
  <c r="J29" i="1"/>
  <c r="J30" i="1"/>
</calcChain>
</file>

<file path=xl/comments1.xml><?xml version="1.0" encoding="utf-8"?>
<comments xmlns="http://schemas.openxmlformats.org/spreadsheetml/2006/main">
  <authors>
    <author>Admin</author>
  </authors>
  <commentList>
    <comment ref="B43" authorId="0" shapeId="0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  <comment ref="C43" authorId="0" shapeId="0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  <comment ref="D43" authorId="0" shapeId="0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  <comment ref="E43" authorId="0" shapeId="0">
      <text>
        <r>
          <rPr>
            <b/>
            <sz val="9"/>
            <color rgb="FF000000"/>
            <rFont val="Tahoma"/>
            <family val="2"/>
          </rPr>
          <t>Includes effect of changes in forex rateson cash and cash equivalents</t>
        </r>
      </text>
    </comment>
  </commentList>
</comments>
</file>

<file path=xl/sharedStrings.xml><?xml version="1.0" encoding="utf-8"?>
<sst xmlns="http://schemas.openxmlformats.org/spreadsheetml/2006/main" count="199" uniqueCount="121">
  <si>
    <t>CMS Info Systems Limited (Consol)</t>
  </si>
  <si>
    <t>Income Statement</t>
  </si>
  <si>
    <t>Balance Sheet</t>
  </si>
  <si>
    <t>Y/E, Mar (Rs. mn)</t>
  </si>
  <si>
    <t>FY13</t>
  </si>
  <si>
    <t>FY14</t>
  </si>
  <si>
    <t>FY15</t>
  </si>
  <si>
    <t>FY16</t>
  </si>
  <si>
    <t>FY18</t>
  </si>
  <si>
    <t>FY19</t>
  </si>
  <si>
    <t>FY20</t>
  </si>
  <si>
    <t>FY21</t>
  </si>
  <si>
    <t>Income</t>
  </si>
  <si>
    <t>Share Capital</t>
  </si>
  <si>
    <t>Other Income</t>
  </si>
  <si>
    <t>Reserves &amp; Surplus</t>
  </si>
  <si>
    <t>Total Income</t>
  </si>
  <si>
    <t>Networth/Shareholders Fund/ Book Value</t>
  </si>
  <si>
    <t>Growth (%)</t>
  </si>
  <si>
    <t>CAGR (%) - 3years</t>
  </si>
  <si>
    <t>Financial Liabilities</t>
  </si>
  <si>
    <t>Expenditure</t>
  </si>
  <si>
    <t>Provisions</t>
  </si>
  <si>
    <t>Cost of materials consumed</t>
  </si>
  <si>
    <t>Non Current Liabilities</t>
  </si>
  <si>
    <t>Purchase of stock in trade</t>
  </si>
  <si>
    <t>Change in inventories of FG, WIP and stock in trade</t>
  </si>
  <si>
    <t>Employee benefit expenses</t>
  </si>
  <si>
    <t>Other Expenses</t>
  </si>
  <si>
    <t>Capital Employed</t>
  </si>
  <si>
    <t>EBITDA</t>
  </si>
  <si>
    <t>Gross Block</t>
  </si>
  <si>
    <t>EBITDA margin (%)</t>
  </si>
  <si>
    <t xml:space="preserve">Fixed Assets </t>
  </si>
  <si>
    <t>Depreciation</t>
  </si>
  <si>
    <t>Capital work in progress</t>
  </si>
  <si>
    <t>Interest</t>
  </si>
  <si>
    <t>Right of use assets</t>
  </si>
  <si>
    <t>Goodwill</t>
  </si>
  <si>
    <t>Other Intangible Assets</t>
  </si>
  <si>
    <t>PBT</t>
  </si>
  <si>
    <t>Deffered Tax (Net)</t>
  </si>
  <si>
    <t>Tax</t>
  </si>
  <si>
    <t>Income Tax Assets (Net)</t>
  </si>
  <si>
    <t>Effective tax rate (%)</t>
  </si>
  <si>
    <t>Investment</t>
  </si>
  <si>
    <t>PAT</t>
  </si>
  <si>
    <t>Other Non Curent Financial Assets</t>
  </si>
  <si>
    <t>PAT margin (%)</t>
  </si>
  <si>
    <t>Other Non Curent Assets</t>
  </si>
  <si>
    <t>Minority Interest</t>
  </si>
  <si>
    <t>Other Comprehensive Income</t>
  </si>
  <si>
    <t>CURRENT ASSETS, LOANS &amp; ADVANCES</t>
  </si>
  <si>
    <t>PAT After MI</t>
  </si>
  <si>
    <t>Inventories</t>
  </si>
  <si>
    <t>NA</t>
  </si>
  <si>
    <t>Investments</t>
  </si>
  <si>
    <t>Trade Recievables</t>
  </si>
  <si>
    <t>EPS</t>
  </si>
  <si>
    <t>Cash &amp; Cash Equivalents</t>
  </si>
  <si>
    <t>Other Bank Balances</t>
  </si>
  <si>
    <t>CAGR (%)</t>
  </si>
  <si>
    <t>Other Current Financial Assets</t>
  </si>
  <si>
    <t>Other current assets</t>
  </si>
  <si>
    <t>Assets held for sale</t>
  </si>
  <si>
    <t>Cash Flow</t>
  </si>
  <si>
    <t>CURRENT LIABILITIES &amp; PROVISIONS</t>
  </si>
  <si>
    <t>Trade Payables to MSMEs</t>
  </si>
  <si>
    <t>Cash and Cash Equivalents at Beginning of the year</t>
  </si>
  <si>
    <t>Trade Payables to non-MSMEs</t>
  </si>
  <si>
    <t>Cash Flow From Operating Activities</t>
  </si>
  <si>
    <t>Other Financial Liabilties</t>
  </si>
  <si>
    <t>Cash Flow from Investing Activities</t>
  </si>
  <si>
    <t>Other Current Liabilities</t>
  </si>
  <si>
    <t>Cash Flow From Financing Activities</t>
  </si>
  <si>
    <t>Employe Benefit Obligations</t>
  </si>
  <si>
    <t>Net Inc./(Dec.) in Cash and Cash Equivalent</t>
  </si>
  <si>
    <t>Cash and Cash Equivalents at End of the year</t>
  </si>
  <si>
    <t>Income Tax Liabilities (Net)</t>
  </si>
  <si>
    <t>Liabilities for Assets held for sale</t>
  </si>
  <si>
    <t>Our Calculations</t>
  </si>
  <si>
    <t>NET CURRENT ASSETS</t>
  </si>
  <si>
    <t>Lease liabilities</t>
  </si>
  <si>
    <t>Other financial liabilities</t>
  </si>
  <si>
    <t>Employee Benefit Obligations</t>
  </si>
  <si>
    <t>Deffered Tax Liabilities (Net)</t>
  </si>
  <si>
    <t>TOTAL ASSETS</t>
  </si>
  <si>
    <t xml:space="preserve">Operating Cash Inflow </t>
  </si>
  <si>
    <t>TOTAL LIABILITIES</t>
  </si>
  <si>
    <t>Capital Expenditure</t>
  </si>
  <si>
    <t>Key ratios</t>
  </si>
  <si>
    <t>FCF</t>
  </si>
  <si>
    <t xml:space="preserve">Y/E, Mar </t>
  </si>
  <si>
    <t xml:space="preserve"> </t>
  </si>
  <si>
    <t>CMP(Rs)</t>
  </si>
  <si>
    <t>EPS (Rs)</t>
  </si>
  <si>
    <t>No. of Shares</t>
  </si>
  <si>
    <t>BVPS (Rs)</t>
  </si>
  <si>
    <t>Market Cap</t>
  </si>
  <si>
    <t>DPS (Rs)</t>
  </si>
  <si>
    <t>Total Debt</t>
  </si>
  <si>
    <t>P/E (x)</t>
  </si>
  <si>
    <t>Cash</t>
  </si>
  <si>
    <t>P/BV (x)</t>
  </si>
  <si>
    <t>EV</t>
  </si>
  <si>
    <t>EV/EBIDTA (x)</t>
  </si>
  <si>
    <t>RoE (%)</t>
  </si>
  <si>
    <t>RoCE (%)</t>
  </si>
  <si>
    <t>Gross D/E(x)</t>
  </si>
  <si>
    <t>Net D/E (x)</t>
  </si>
  <si>
    <t>Dividend Yield</t>
  </si>
  <si>
    <t xml:space="preserve">NA </t>
  </si>
  <si>
    <t>Credit Rating</t>
  </si>
  <si>
    <t>FY22</t>
  </si>
  <si>
    <t>Other Liabilities</t>
  </si>
  <si>
    <t>Lease Liabilities</t>
  </si>
  <si>
    <t>[ICRA] AA (Stable)</t>
  </si>
  <si>
    <t>N/A</t>
  </si>
  <si>
    <t>TA-CL</t>
  </si>
  <si>
    <t>Eq+NCL</t>
  </si>
  <si>
    <t>FY23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</si>
</sst>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0.0"/>
    <numFmt numFmtId="165" formatCode="_ * #,##0.0_ ;_ * \-#,##0.0_ ;_ * &quot;-&quot;??_ ;_ @_ "/>
    <numFmt numFmtId="166" formatCode="0.0%"/>
    <numFmt numFmtId="167" formatCode="_ * #,##0_ ;_ * \-#,##0_ ;_ * &quot;-&quot;??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sz val="12"/>
      <color rgb="FF000000"/>
      <name val="Arial"/>
      <family val="2"/>
    </font>
    <font>
      <i/>
      <sz val="12"/>
      <color theme="1"/>
      <name val="Arial"/>
      <family val="2"/>
    </font>
    <font>
      <i/>
      <sz val="12"/>
      <color rgb="FFFF0000"/>
      <name val="Arial"/>
      <family val="2"/>
    </font>
    <font>
      <sz val="12"/>
      <color rgb="FFFF0000"/>
      <name val="Arial"/>
      <family val="2"/>
    </font>
    <font>
      <b/>
      <sz val="9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100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2" xfId="0" applyFont="1" applyBorder="1"/>
    <xf numFmtId="0" fontId="5" fillId="0" borderId="2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164" fontId="6" fillId="0" borderId="2" xfId="0" applyNumberFormat="1" applyFont="1" applyBorder="1" applyAlignment="1">
      <alignment horizontal="right"/>
    </xf>
    <xf numFmtId="165" fontId="5" fillId="0" borderId="2" xfId="1" applyNumberFormat="1" applyFont="1" applyBorder="1"/>
    <xf numFmtId="165" fontId="6" fillId="0" borderId="2" xfId="1" applyNumberFormat="1" applyFont="1" applyFill="1" applyBorder="1"/>
    <xf numFmtId="10" fontId="3" fillId="0" borderId="0" xfId="2" applyNumberFormat="1" applyFont="1"/>
    <xf numFmtId="0" fontId="3" fillId="0" borderId="2" xfId="0" applyFont="1" applyBorder="1"/>
    <xf numFmtId="165" fontId="3" fillId="0" borderId="2" xfId="1" applyNumberFormat="1" applyFont="1" applyBorder="1"/>
    <xf numFmtId="165" fontId="3" fillId="0" borderId="6" xfId="1" applyNumberFormat="1" applyFont="1" applyBorder="1"/>
    <xf numFmtId="165" fontId="7" fillId="0" borderId="2" xfId="1" applyNumberFormat="1" applyFont="1" applyBorder="1"/>
    <xf numFmtId="165" fontId="7" fillId="0" borderId="2" xfId="1" applyNumberFormat="1" applyFont="1" applyFill="1" applyBorder="1"/>
    <xf numFmtId="4" fontId="3" fillId="0" borderId="0" xfId="0" applyNumberFormat="1" applyFont="1"/>
    <xf numFmtId="0" fontId="5" fillId="3" borderId="2" xfId="0" applyFont="1" applyFill="1" applyBorder="1"/>
    <xf numFmtId="165" fontId="5" fillId="3" borderId="2" xfId="1" applyNumberFormat="1" applyFont="1" applyFill="1" applyBorder="1"/>
    <xf numFmtId="165" fontId="5" fillId="3" borderId="6" xfId="1" applyNumberFormat="1" applyFont="1" applyFill="1" applyBorder="1"/>
    <xf numFmtId="0" fontId="10" fillId="3" borderId="2" xfId="0" applyFont="1" applyFill="1" applyBorder="1"/>
    <xf numFmtId="166" fontId="11" fillId="3" borderId="2" xfId="0" applyNumberFormat="1" applyFont="1" applyFill="1" applyBorder="1"/>
    <xf numFmtId="10" fontId="10" fillId="3" borderId="2" xfId="0" applyNumberFormat="1" applyFont="1" applyFill="1" applyBorder="1"/>
    <xf numFmtId="10" fontId="11" fillId="3" borderId="2" xfId="0" applyNumberFormat="1" applyFont="1" applyFill="1" applyBorder="1"/>
    <xf numFmtId="165" fontId="7" fillId="4" borderId="2" xfId="1" applyNumberFormat="1" applyFont="1" applyFill="1" applyBorder="1"/>
    <xf numFmtId="0" fontId="3" fillId="3" borderId="2" xfId="0" applyFont="1" applyFill="1" applyBorder="1"/>
    <xf numFmtId="165" fontId="6" fillId="3" borderId="2" xfId="1" applyNumberFormat="1" applyFont="1" applyFill="1" applyBorder="1"/>
    <xf numFmtId="165" fontId="6" fillId="3" borderId="6" xfId="1" applyNumberFormat="1" applyFont="1" applyFill="1" applyBorder="1"/>
    <xf numFmtId="165" fontId="12" fillId="0" borderId="2" xfId="1" applyNumberFormat="1" applyFont="1" applyFill="1" applyBorder="1"/>
    <xf numFmtId="165" fontId="6" fillId="0" borderId="6" xfId="1" applyNumberFormat="1" applyFont="1" applyFill="1" applyBorder="1"/>
    <xf numFmtId="165" fontId="5" fillId="0" borderId="2" xfId="1" applyNumberFormat="1" applyFont="1" applyFill="1" applyBorder="1"/>
    <xf numFmtId="165" fontId="12" fillId="0" borderId="0" xfId="1" applyNumberFormat="1" applyFont="1"/>
    <xf numFmtId="10" fontId="5" fillId="3" borderId="2" xfId="0" applyNumberFormat="1" applyFont="1" applyFill="1" applyBorder="1"/>
    <xf numFmtId="165" fontId="7" fillId="0" borderId="6" xfId="1" applyNumberFormat="1" applyFont="1" applyBorder="1"/>
    <xf numFmtId="43" fontId="3" fillId="0" borderId="0" xfId="0" applyNumberFormat="1" applyFont="1"/>
    <xf numFmtId="0" fontId="12" fillId="0" borderId="2" xfId="0" applyFont="1" applyBorder="1"/>
    <xf numFmtId="0" fontId="3" fillId="0" borderId="7" xfId="0" applyFont="1" applyBorder="1"/>
    <xf numFmtId="165" fontId="3" fillId="0" borderId="0" xfId="1" applyNumberFormat="1" applyFont="1" applyBorder="1"/>
    <xf numFmtId="165" fontId="3" fillId="0" borderId="8" xfId="1" applyNumberFormat="1" applyFont="1" applyBorder="1"/>
    <xf numFmtId="0" fontId="12" fillId="0" borderId="0" xfId="0" applyFont="1"/>
    <xf numFmtId="10" fontId="5" fillId="3" borderId="2" xfId="2" applyNumberFormat="1" applyFont="1" applyFill="1" applyBorder="1"/>
    <xf numFmtId="164" fontId="3" fillId="0" borderId="2" xfId="0" applyNumberFormat="1" applyFont="1" applyBorder="1"/>
    <xf numFmtId="164" fontId="5" fillId="3" borderId="2" xfId="0" applyNumberFormat="1" applyFont="1" applyFill="1" applyBorder="1"/>
    <xf numFmtId="166" fontId="10" fillId="3" borderId="2" xfId="0" applyNumberFormat="1" applyFont="1" applyFill="1" applyBorder="1"/>
    <xf numFmtId="43" fontId="5" fillId="0" borderId="2" xfId="1" applyFont="1" applyFill="1" applyBorder="1"/>
    <xf numFmtId="43" fontId="6" fillId="0" borderId="2" xfId="1" applyFont="1" applyFill="1" applyBorder="1"/>
    <xf numFmtId="0" fontId="12" fillId="3" borderId="2" xfId="0" applyFont="1" applyFill="1" applyBorder="1"/>
    <xf numFmtId="10" fontId="3" fillId="3" borderId="2" xfId="0" applyNumberFormat="1" applyFont="1" applyFill="1" applyBorder="1"/>
    <xf numFmtId="166" fontId="12" fillId="3" borderId="2" xfId="0" applyNumberFormat="1" applyFont="1" applyFill="1" applyBorder="1"/>
    <xf numFmtId="166" fontId="3" fillId="3" borderId="2" xfId="0" applyNumberFormat="1" applyFont="1" applyFill="1" applyBorder="1"/>
    <xf numFmtId="165" fontId="3" fillId="0" borderId="7" xfId="1" applyNumberFormat="1" applyFont="1" applyBorder="1"/>
    <xf numFmtId="0" fontId="5" fillId="0" borderId="2" xfId="0" applyFont="1" applyBorder="1" applyAlignment="1">
      <alignment horizontal="center"/>
    </xf>
    <xf numFmtId="165" fontId="3" fillId="0" borderId="2" xfId="1" applyNumberFormat="1" applyFont="1" applyFill="1" applyBorder="1"/>
    <xf numFmtId="165" fontId="3" fillId="0" borderId="6" xfId="1" applyNumberFormat="1" applyFont="1" applyFill="1" applyBorder="1"/>
    <xf numFmtId="165" fontId="12" fillId="0" borderId="2" xfId="1" applyNumberFormat="1" applyFont="1" applyBorder="1"/>
    <xf numFmtId="165" fontId="3" fillId="3" borderId="2" xfId="1" applyNumberFormat="1" applyFont="1" applyFill="1" applyBorder="1"/>
    <xf numFmtId="165" fontId="5" fillId="0" borderId="6" xfId="1" applyNumberFormat="1" applyFont="1" applyFill="1" applyBorder="1"/>
    <xf numFmtId="43" fontId="12" fillId="0" borderId="0" xfId="0" applyNumberFormat="1" applyFont="1"/>
    <xf numFmtId="43" fontId="12" fillId="0" borderId="2" xfId="0" applyNumberFormat="1" applyFont="1" applyBorder="1"/>
    <xf numFmtId="164" fontId="5" fillId="0" borderId="2" xfId="0" applyNumberFormat="1" applyFont="1" applyBorder="1"/>
    <xf numFmtId="43" fontId="5" fillId="0" borderId="2" xfId="1" applyFont="1" applyBorder="1"/>
    <xf numFmtId="43" fontId="3" fillId="0" borderId="2" xfId="1" applyFont="1" applyBorder="1"/>
    <xf numFmtId="43" fontId="3" fillId="0" borderId="6" xfId="1" applyFont="1" applyBorder="1"/>
    <xf numFmtId="43" fontId="5" fillId="3" borderId="2" xfId="1" applyFont="1" applyFill="1" applyBorder="1"/>
    <xf numFmtId="43" fontId="5" fillId="3" borderId="6" xfId="1" applyFont="1" applyFill="1" applyBorder="1"/>
    <xf numFmtId="167" fontId="7" fillId="0" borderId="2" xfId="1" applyNumberFormat="1" applyFont="1" applyFill="1" applyBorder="1"/>
    <xf numFmtId="3" fontId="9" fillId="0" borderId="2" xfId="0" applyNumberFormat="1" applyFont="1" applyBorder="1"/>
    <xf numFmtId="164" fontId="3" fillId="3" borderId="2" xfId="0" applyNumberFormat="1" applyFont="1" applyFill="1" applyBorder="1"/>
    <xf numFmtId="43" fontId="3" fillId="3" borderId="2" xfId="1" applyFont="1" applyFill="1" applyBorder="1"/>
    <xf numFmtId="164" fontId="3" fillId="3" borderId="6" xfId="1" applyNumberFormat="1" applyFont="1" applyFill="1" applyBorder="1"/>
    <xf numFmtId="43" fontId="3" fillId="3" borderId="6" xfId="1" applyFont="1" applyFill="1" applyBorder="1"/>
    <xf numFmtId="43" fontId="3" fillId="0" borderId="2" xfId="1" applyFont="1" applyFill="1" applyBorder="1"/>
    <xf numFmtId="43" fontId="3" fillId="0" borderId="6" xfId="1" applyFont="1" applyFill="1" applyBorder="1"/>
    <xf numFmtId="165" fontId="7" fillId="3" borderId="6" xfId="1" applyNumberFormat="1" applyFont="1" applyFill="1" applyBorder="1"/>
    <xf numFmtId="10" fontId="7" fillId="3" borderId="2" xfId="2" applyNumberFormat="1" applyFont="1" applyFill="1" applyBorder="1"/>
    <xf numFmtId="166" fontId="3" fillId="0" borderId="2" xfId="0" applyNumberFormat="1" applyFont="1" applyBorder="1"/>
    <xf numFmtId="10" fontId="3" fillId="3" borderId="6" xfId="0" applyNumberFormat="1" applyFont="1" applyFill="1" applyBorder="1"/>
    <xf numFmtId="2" fontId="3" fillId="3" borderId="2" xfId="0" applyNumberFormat="1" applyFont="1" applyFill="1" applyBorder="1"/>
    <xf numFmtId="2" fontId="3" fillId="3" borderId="6" xfId="0" applyNumberFormat="1" applyFont="1" applyFill="1" applyBorder="1"/>
    <xf numFmtId="10" fontId="3" fillId="3" borderId="2" xfId="2" applyNumberFormat="1" applyFont="1" applyFill="1" applyBorder="1"/>
    <xf numFmtId="10" fontId="3" fillId="3" borderId="6" xfId="2" applyNumberFormat="1" applyFont="1" applyFill="1" applyBorder="1"/>
    <xf numFmtId="0" fontId="3" fillId="0" borderId="5" xfId="0" applyFont="1" applyBorder="1"/>
    <xf numFmtId="0" fontId="12" fillId="0" borderId="5" xfId="0" applyFont="1" applyBorder="1"/>
    <xf numFmtId="0" fontId="7" fillId="0" borderId="5" xfId="0" applyFont="1" applyBorder="1"/>
    <xf numFmtId="1" fontId="3" fillId="0" borderId="0" xfId="0" applyNumberFormat="1" applyFont="1"/>
    <xf numFmtId="0" fontId="3" fillId="0" borderId="0" xfId="0" applyFont="1" applyFill="1" applyBorder="1"/>
    <xf numFmtId="43" fontId="7" fillId="0" borderId="0" xfId="1" applyFont="1" applyFill="1" applyBorder="1"/>
    <xf numFmtId="10" fontId="7" fillId="0" borderId="0" xfId="2" applyNumberFormat="1" applyFont="1" applyFill="1" applyBorder="1"/>
    <xf numFmtId="164" fontId="3" fillId="0" borderId="0" xfId="0" applyNumberFormat="1" applyFont="1" applyFill="1" applyBorder="1"/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165" fontId="5" fillId="0" borderId="2" xfId="0" applyNumberFormat="1" applyFont="1" applyBorder="1"/>
    <xf numFmtId="0" fontId="3" fillId="0" borderId="2" xfId="0" applyFont="1" applyFill="1" applyBorder="1"/>
    <xf numFmtId="3" fontId="3" fillId="0" borderId="2" xfId="0" applyNumberFormat="1" applyFont="1" applyFill="1" applyBorder="1"/>
    <xf numFmtId="4" fontId="3" fillId="0" borderId="2" xfId="0" applyNumberFormat="1" applyFont="1" applyFill="1" applyBorder="1"/>
    <xf numFmtId="164" fontId="7" fillId="0" borderId="2" xfId="0" applyNumberFormat="1" applyFont="1" applyFill="1" applyBorder="1"/>
  </cellXfs>
  <cellStyles count="4">
    <cellStyle name="Comma" xfId="1" builtinId="3"/>
    <cellStyle name="Normal" xfId="0" builtinId="0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Y79"/>
  <sheetViews>
    <sheetView tabSelected="1" zoomScale="70" zoomScaleNormal="70" zoomScaleSheetLayoutView="82" workbookViewId="0">
      <selection activeCell="W5" sqref="W5"/>
    </sheetView>
  </sheetViews>
  <sheetFormatPr defaultColWidth="9.109375" defaultRowHeight="15" x14ac:dyDescent="0.25"/>
  <cols>
    <col min="1" max="1" width="30.44140625" style="1" customWidth="1"/>
    <col min="2" max="4" width="11.109375" style="40" hidden="1" customWidth="1"/>
    <col min="5" max="5" width="12.6640625" style="40" hidden="1" customWidth="1"/>
    <col min="6" max="11" width="17.44140625" style="1" bestFit="1" customWidth="1"/>
    <col min="12" max="12" width="21.33203125" style="1" customWidth="1"/>
    <col min="13" max="13" width="40.6640625" style="1" customWidth="1"/>
    <col min="14" max="14" width="10.88671875" style="40" hidden="1" customWidth="1"/>
    <col min="15" max="15" width="13.88671875" style="40" hidden="1" customWidth="1"/>
    <col min="16" max="16" width="10.44140625" style="40" hidden="1" customWidth="1"/>
    <col min="17" max="17" width="13.88671875" style="40" hidden="1" customWidth="1"/>
    <col min="18" max="22" width="11.88671875" style="1" bestFit="1" customWidth="1"/>
    <col min="23" max="23" width="15.5546875" style="86" bestFit="1" customWidth="1"/>
    <col min="24" max="25" width="13.44140625" style="1" bestFit="1" customWidth="1"/>
    <col min="26" max="16384" width="9.109375" style="1"/>
  </cols>
  <sheetData>
    <row r="1" spans="1:24" ht="15" customHeight="1" x14ac:dyDescent="0.25">
      <c r="A1" s="90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</row>
    <row r="2" spans="1:24" ht="15" customHeight="1" x14ac:dyDescent="0.3">
      <c r="A2" s="92" t="s">
        <v>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2"/>
      <c r="M2" s="93" t="s">
        <v>2</v>
      </c>
      <c r="N2" s="94"/>
      <c r="O2" s="94"/>
      <c r="P2" s="94"/>
      <c r="Q2" s="94"/>
      <c r="R2" s="94"/>
      <c r="S2" s="94"/>
      <c r="T2" s="94"/>
      <c r="U2" s="94"/>
      <c r="V2" s="94"/>
    </row>
    <row r="3" spans="1:24" ht="15" customHeigh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113</v>
      </c>
      <c r="K3" s="4" t="s">
        <v>120</v>
      </c>
      <c r="L3" s="2"/>
      <c r="M3" s="5" t="s">
        <v>3</v>
      </c>
      <c r="N3" s="6" t="s">
        <v>4</v>
      </c>
      <c r="O3" s="6" t="s">
        <v>5</v>
      </c>
      <c r="P3" s="6" t="s">
        <v>6</v>
      </c>
      <c r="Q3" s="7" t="s">
        <v>7</v>
      </c>
      <c r="R3" s="8" t="s">
        <v>8</v>
      </c>
      <c r="S3" s="8" t="s">
        <v>9</v>
      </c>
      <c r="T3" s="8" t="s">
        <v>10</v>
      </c>
      <c r="U3" s="8" t="s">
        <v>11</v>
      </c>
      <c r="V3" s="8" t="s">
        <v>113</v>
      </c>
      <c r="W3" s="52" t="s">
        <v>120</v>
      </c>
    </row>
    <row r="4" spans="1:24" ht="15" customHeight="1" x14ac:dyDescent="0.3">
      <c r="A4" s="5" t="s">
        <v>12</v>
      </c>
      <c r="B4" s="9"/>
      <c r="C4" s="9"/>
      <c r="D4" s="9"/>
      <c r="E4" s="9">
        <v>28723.8</v>
      </c>
      <c r="F4" s="10">
        <v>0</v>
      </c>
      <c r="G4" s="10">
        <v>11461.59</v>
      </c>
      <c r="H4" s="10">
        <v>13832.38</v>
      </c>
      <c r="I4" s="10">
        <v>13060.9</v>
      </c>
      <c r="J4" s="10">
        <v>15896.71</v>
      </c>
      <c r="K4" s="10">
        <v>19147.3</v>
      </c>
      <c r="L4" s="11"/>
      <c r="M4" s="12" t="s">
        <v>13</v>
      </c>
      <c r="N4" s="13"/>
      <c r="O4" s="13"/>
      <c r="P4" s="13"/>
      <c r="Q4" s="14">
        <v>1239.4000000000001</v>
      </c>
      <c r="R4" s="15">
        <v>0</v>
      </c>
      <c r="S4" s="15">
        <v>1480</v>
      </c>
      <c r="T4" s="15">
        <v>1480</v>
      </c>
      <c r="U4" s="15">
        <v>1480</v>
      </c>
      <c r="V4" s="15">
        <v>1531.53</v>
      </c>
      <c r="W4" s="96">
        <v>1544</v>
      </c>
    </row>
    <row r="5" spans="1:24" ht="15" customHeight="1" x14ac:dyDescent="0.25">
      <c r="A5" s="12" t="s">
        <v>14</v>
      </c>
      <c r="B5" s="13"/>
      <c r="C5" s="13"/>
      <c r="D5" s="13"/>
      <c r="E5" s="13">
        <v>347.8</v>
      </c>
      <c r="F5" s="16">
        <v>0</v>
      </c>
      <c r="G5" s="16">
        <f>14.38+117.22</f>
        <v>131.6</v>
      </c>
      <c r="H5" s="16">
        <f>29.28+21.28</f>
        <v>50.56</v>
      </c>
      <c r="I5" s="16">
        <f>59.19+99.12</f>
        <v>158.31</v>
      </c>
      <c r="J5" s="16">
        <f>34.85+44.25</f>
        <v>79.099999999999994</v>
      </c>
      <c r="K5" s="16">
        <v>147.18</v>
      </c>
      <c r="L5" s="17"/>
      <c r="M5" s="12" t="s">
        <v>15</v>
      </c>
      <c r="N5" s="13"/>
      <c r="O5" s="13"/>
      <c r="P5" s="13"/>
      <c r="Q5" s="14">
        <v>7161.8</v>
      </c>
      <c r="R5" s="15">
        <v>0</v>
      </c>
      <c r="S5" s="15">
        <v>5978.98</v>
      </c>
      <c r="T5" s="15">
        <v>7023.91</v>
      </c>
      <c r="U5" s="15">
        <v>8364.76</v>
      </c>
      <c r="V5" s="15">
        <v>11029.77</v>
      </c>
      <c r="W5" s="97">
        <v>14080.55</v>
      </c>
    </row>
    <row r="6" spans="1:24" ht="15" customHeight="1" x14ac:dyDescent="0.3">
      <c r="A6" s="18" t="s">
        <v>16</v>
      </c>
      <c r="B6" s="19">
        <f t="shared" ref="B6:F6" si="0">B4+B5</f>
        <v>0</v>
      </c>
      <c r="C6" s="19">
        <f t="shared" si="0"/>
        <v>0</v>
      </c>
      <c r="D6" s="19">
        <f t="shared" si="0"/>
        <v>0</v>
      </c>
      <c r="E6" s="19">
        <f t="shared" si="0"/>
        <v>29071.599999999999</v>
      </c>
      <c r="F6" s="19">
        <f t="shared" si="0"/>
        <v>0</v>
      </c>
      <c r="G6" s="19">
        <f>G4+G5</f>
        <v>11593.19</v>
      </c>
      <c r="H6" s="19">
        <f>H4+H5</f>
        <v>13882.939999999999</v>
      </c>
      <c r="I6" s="19">
        <f>I4+I5</f>
        <v>13219.21</v>
      </c>
      <c r="J6" s="19">
        <f>J4+J5</f>
        <v>15975.81</v>
      </c>
      <c r="K6" s="19">
        <f>K4+K5</f>
        <v>19294.48</v>
      </c>
      <c r="M6" s="18" t="s">
        <v>17</v>
      </c>
      <c r="N6" s="19">
        <f>(N4+N5)</f>
        <v>0</v>
      </c>
      <c r="O6" s="19">
        <f>(O4+O5)</f>
        <v>0</v>
      </c>
      <c r="P6" s="19">
        <f>(P4+P5)</f>
        <v>0</v>
      </c>
      <c r="Q6" s="19">
        <f>(Q4+Q5)+Q9</f>
        <v>8401.2000000000007</v>
      </c>
      <c r="R6" s="19">
        <f>(R4+R5)+R9</f>
        <v>0</v>
      </c>
      <c r="S6" s="19">
        <f>(S4+S5)+S9</f>
        <v>7458.98</v>
      </c>
      <c r="T6" s="19">
        <f>(T4+T5)+T9</f>
        <v>8503.91</v>
      </c>
      <c r="U6" s="19">
        <f>(U4+U5)+U9</f>
        <v>9844.76</v>
      </c>
      <c r="V6" s="19">
        <f>(V4+V5)</f>
        <v>12561.300000000001</v>
      </c>
      <c r="W6" s="19">
        <f>(W4+W5)</f>
        <v>15624.55</v>
      </c>
    </row>
    <row r="7" spans="1:24" ht="15" customHeight="1" x14ac:dyDescent="0.3">
      <c r="A7" s="21" t="s">
        <v>18</v>
      </c>
      <c r="B7" s="22"/>
      <c r="C7" s="23"/>
      <c r="D7" s="23"/>
      <c r="E7" s="23"/>
      <c r="F7" s="23">
        <f t="shared" ref="F7" si="1">(F6/E6-1)</f>
        <v>-1</v>
      </c>
      <c r="G7" s="23"/>
      <c r="H7" s="23">
        <f>(H6/G6-1)</f>
        <v>0.19750819230945038</v>
      </c>
      <c r="I7" s="23">
        <f>(I6/H6-1)</f>
        <v>-4.7809037566970636E-2</v>
      </c>
      <c r="J7" s="23">
        <f>(J6/I6-1)</f>
        <v>0.2085298591973348</v>
      </c>
      <c r="K7" s="23">
        <f>(K6/J6-1)</f>
        <v>0.20773093821220967</v>
      </c>
      <c r="M7" s="12" t="s">
        <v>20</v>
      </c>
      <c r="N7" s="13"/>
      <c r="O7" s="13"/>
      <c r="P7" s="13"/>
      <c r="Q7" s="14">
        <v>3316.7</v>
      </c>
      <c r="R7" s="15">
        <v>0</v>
      </c>
      <c r="S7" s="15">
        <v>599.12</v>
      </c>
      <c r="T7" s="15">
        <v>633.66</v>
      </c>
      <c r="U7" s="15">
        <v>945.38</v>
      </c>
      <c r="V7" s="15">
        <v>1467.61</v>
      </c>
      <c r="W7" s="98">
        <v>1528.03</v>
      </c>
    </row>
    <row r="8" spans="1:24" ht="15" customHeight="1" x14ac:dyDescent="0.3">
      <c r="A8" s="21" t="s">
        <v>19</v>
      </c>
      <c r="B8" s="22"/>
      <c r="C8" s="24"/>
      <c r="D8" s="24"/>
      <c r="E8" s="24"/>
      <c r="F8" s="23"/>
      <c r="G8" s="23"/>
      <c r="H8" s="23"/>
      <c r="I8" s="23"/>
      <c r="J8" s="23">
        <f>(J6/G6)^(1/3)-1</f>
        <v>0.1128073302483974</v>
      </c>
      <c r="K8" s="23">
        <f>(K6/H6)^(1/3)-1</f>
        <v>0.11596492264430491</v>
      </c>
      <c r="M8" s="12" t="s">
        <v>22</v>
      </c>
      <c r="N8" s="13"/>
      <c r="O8" s="13"/>
      <c r="P8" s="13"/>
      <c r="Q8" s="14">
        <v>1615.2</v>
      </c>
      <c r="R8" s="15"/>
      <c r="S8" s="15">
        <v>168.24</v>
      </c>
      <c r="T8" s="15">
        <v>190.96</v>
      </c>
      <c r="U8" s="15">
        <v>191.01</v>
      </c>
      <c r="V8" s="15">
        <f>201.04</f>
        <v>201.04</v>
      </c>
      <c r="W8" s="97">
        <v>211.12</v>
      </c>
    </row>
    <row r="9" spans="1:24" ht="15" customHeight="1" x14ac:dyDescent="0.3">
      <c r="A9" s="18" t="s">
        <v>21</v>
      </c>
      <c r="B9" s="19">
        <f t="shared" ref="B9:F9" si="2">SUM(B10:B14)</f>
        <v>0</v>
      </c>
      <c r="C9" s="19">
        <f t="shared" si="2"/>
        <v>0</v>
      </c>
      <c r="D9" s="19">
        <f t="shared" si="2"/>
        <v>0</v>
      </c>
      <c r="E9" s="19">
        <f t="shared" si="2"/>
        <v>25563.199999999997</v>
      </c>
      <c r="F9" s="19">
        <f t="shared" si="2"/>
        <v>0</v>
      </c>
      <c r="G9" s="19">
        <f>SUM(G10:G14)</f>
        <v>9482.26</v>
      </c>
      <c r="H9" s="19">
        <f>SUM(H10:H14)</f>
        <v>11293.31</v>
      </c>
      <c r="I9" s="19">
        <f t="shared" ref="I9" si="3">SUM(I10:I14)-I19-I20</f>
        <v>10124.830000000002</v>
      </c>
      <c r="J9" s="19">
        <f>SUM(J10:J14)-J19-J20</f>
        <v>11899.03</v>
      </c>
      <c r="K9" s="19">
        <f>SUM(K10:K14)</f>
        <v>13769.98</v>
      </c>
      <c r="M9" s="12" t="s">
        <v>114</v>
      </c>
      <c r="N9" s="13"/>
      <c r="O9" s="13"/>
      <c r="P9" s="13"/>
      <c r="Q9" s="14">
        <v>0</v>
      </c>
      <c r="R9" s="15">
        <v>0</v>
      </c>
      <c r="S9" s="15">
        <v>0</v>
      </c>
      <c r="T9" s="15">
        <v>0</v>
      </c>
      <c r="U9" s="15">
        <v>0</v>
      </c>
      <c r="V9" s="15">
        <v>9.25</v>
      </c>
      <c r="W9" s="16">
        <v>6.14</v>
      </c>
    </row>
    <row r="10" spans="1:24" ht="15" customHeight="1" x14ac:dyDescent="0.3">
      <c r="A10" s="12" t="s">
        <v>23</v>
      </c>
      <c r="B10" s="15"/>
      <c r="C10" s="15"/>
      <c r="D10" s="15"/>
      <c r="E10" s="25">
        <v>15778.3</v>
      </c>
      <c r="F10" s="16">
        <v>0</v>
      </c>
      <c r="G10" s="16">
        <v>0</v>
      </c>
      <c r="H10" s="16">
        <v>0</v>
      </c>
      <c r="I10" s="16">
        <v>0</v>
      </c>
      <c r="J10" s="16"/>
      <c r="K10" s="16"/>
      <c r="M10" s="18" t="s">
        <v>24</v>
      </c>
      <c r="N10" s="19">
        <f t="shared" ref="N10:U10" si="4">(N7+N8)</f>
        <v>0</v>
      </c>
      <c r="O10" s="19">
        <f t="shared" si="4"/>
        <v>0</v>
      </c>
      <c r="P10" s="19">
        <f t="shared" si="4"/>
        <v>0</v>
      </c>
      <c r="Q10" s="20">
        <f t="shared" si="4"/>
        <v>4931.8999999999996</v>
      </c>
      <c r="R10" s="19">
        <f t="shared" si="4"/>
        <v>0</v>
      </c>
      <c r="S10" s="19">
        <f t="shared" si="4"/>
        <v>767.36</v>
      </c>
      <c r="T10" s="19">
        <f t="shared" si="4"/>
        <v>824.62</v>
      </c>
      <c r="U10" s="19">
        <f t="shared" si="4"/>
        <v>1136.3899999999999</v>
      </c>
      <c r="V10" s="19">
        <f>V7+V8+V9</f>
        <v>1677.8999999999999</v>
      </c>
      <c r="W10" s="19">
        <f>W7+W8+W9</f>
        <v>1745.2900000000002</v>
      </c>
      <c r="X10" s="17"/>
    </row>
    <row r="11" spans="1:24" ht="15" customHeight="1" x14ac:dyDescent="0.3">
      <c r="A11" s="12" t="s">
        <v>25</v>
      </c>
      <c r="B11" s="15"/>
      <c r="C11" s="15"/>
      <c r="D11" s="15"/>
      <c r="E11" s="25">
        <v>2387.8000000000002</v>
      </c>
      <c r="F11" s="16">
        <v>0</v>
      </c>
      <c r="G11" s="16">
        <v>1005.6</v>
      </c>
      <c r="H11" s="16">
        <v>1814.6</v>
      </c>
      <c r="I11" s="16">
        <v>2069.54</v>
      </c>
      <c r="J11" s="16">
        <v>1360.86</v>
      </c>
      <c r="K11" s="16">
        <v>1132.07</v>
      </c>
      <c r="M11" s="18"/>
      <c r="N11" s="19"/>
      <c r="O11" s="19"/>
      <c r="P11" s="19"/>
      <c r="Q11" s="20"/>
      <c r="R11" s="19"/>
      <c r="S11" s="19"/>
      <c r="T11" s="19"/>
      <c r="U11" s="19"/>
      <c r="V11" s="19"/>
      <c r="W11" s="19"/>
    </row>
    <row r="12" spans="1:24" ht="15" customHeight="1" x14ac:dyDescent="0.3">
      <c r="A12" s="12" t="s">
        <v>26</v>
      </c>
      <c r="B12" s="15"/>
      <c r="C12" s="15"/>
      <c r="D12" s="15"/>
      <c r="E12" s="25">
        <v>-438.3</v>
      </c>
      <c r="F12" s="16">
        <v>0</v>
      </c>
      <c r="G12" s="16">
        <v>-113.9</v>
      </c>
      <c r="H12" s="16">
        <v>98.57</v>
      </c>
      <c r="I12" s="16">
        <v>-273.06</v>
      </c>
      <c r="J12" s="16">
        <v>177.1</v>
      </c>
      <c r="K12" s="16">
        <v>29.67</v>
      </c>
      <c r="M12" s="18"/>
      <c r="N12" s="19"/>
      <c r="O12" s="19"/>
      <c r="P12" s="19"/>
      <c r="Q12" s="20"/>
      <c r="R12" s="19"/>
      <c r="S12" s="19"/>
      <c r="T12" s="19"/>
      <c r="U12" s="19"/>
      <c r="V12" s="19"/>
      <c r="W12" s="19"/>
    </row>
    <row r="13" spans="1:24" ht="15" customHeight="1" x14ac:dyDescent="0.3">
      <c r="A13" s="12" t="s">
        <v>27</v>
      </c>
      <c r="B13" s="15"/>
      <c r="C13" s="15"/>
      <c r="D13" s="15"/>
      <c r="E13" s="25">
        <v>1594.5</v>
      </c>
      <c r="F13" s="16">
        <v>0</v>
      </c>
      <c r="G13" s="16">
        <v>2134.7800000000002</v>
      </c>
      <c r="H13" s="16">
        <v>2193.5300000000002</v>
      </c>
      <c r="I13" s="16">
        <v>2015.84</v>
      </c>
      <c r="J13" s="16">
        <v>2315.4499999999998</v>
      </c>
      <c r="K13" s="16">
        <v>2648.89</v>
      </c>
      <c r="M13" s="18"/>
      <c r="N13" s="19"/>
      <c r="O13" s="19"/>
      <c r="P13" s="19"/>
      <c r="Q13" s="20"/>
      <c r="R13" s="19"/>
      <c r="S13" s="19"/>
      <c r="T13" s="19"/>
      <c r="U13" s="19"/>
      <c r="V13" s="19"/>
      <c r="W13" s="19"/>
    </row>
    <row r="14" spans="1:24" ht="15" customHeight="1" x14ac:dyDescent="0.3">
      <c r="A14" s="12" t="s">
        <v>28</v>
      </c>
      <c r="B14" s="15"/>
      <c r="C14" s="15"/>
      <c r="D14" s="15"/>
      <c r="E14" s="25">
        <f>2922.4+3273+60.6-15.1</f>
        <v>6240.9</v>
      </c>
      <c r="F14" s="16">
        <v>0</v>
      </c>
      <c r="G14" s="16">
        <v>6455.78</v>
      </c>
      <c r="H14" s="16">
        <v>7186.61</v>
      </c>
      <c r="I14" s="16">
        <v>7029.38</v>
      </c>
      <c r="J14" s="16">
        <v>9107.9500000000007</v>
      </c>
      <c r="K14" s="16">
        <v>9959.35</v>
      </c>
      <c r="L14" s="35"/>
      <c r="M14" s="18" t="s">
        <v>29</v>
      </c>
      <c r="N14" s="19">
        <f>(N6+N7+N9+N51)</f>
        <v>0</v>
      </c>
      <c r="O14" s="19">
        <f>(O6+O7+O9+O51)</f>
        <v>0</v>
      </c>
      <c r="P14" s="19">
        <f>(P6+P7+P9+P51)</f>
        <v>0</v>
      </c>
      <c r="Q14" s="19">
        <f t="shared" ref="Q14:R14" si="5">(Q6+Q7+Q51)</f>
        <v>11844.7</v>
      </c>
      <c r="R14" s="19">
        <f t="shared" si="5"/>
        <v>0</v>
      </c>
      <c r="S14" s="19">
        <f t="shared" ref="S14:U14" si="6">S6+S10</f>
        <v>8226.34</v>
      </c>
      <c r="T14" s="19">
        <f t="shared" si="6"/>
        <v>9328.5300000000007</v>
      </c>
      <c r="U14" s="19">
        <f t="shared" si="6"/>
        <v>10981.15</v>
      </c>
      <c r="V14" s="19">
        <f>V6+V10</f>
        <v>14239.2</v>
      </c>
      <c r="W14" s="19">
        <f>W6+W10</f>
        <v>17369.84</v>
      </c>
      <c r="X14" s="1" t="s">
        <v>119</v>
      </c>
    </row>
    <row r="15" spans="1:24" ht="15" customHeight="1" x14ac:dyDescent="0.3">
      <c r="A15" s="18" t="s">
        <v>30</v>
      </c>
      <c r="B15" s="19">
        <f t="shared" ref="B15:F15" si="7">(B6-B9)</f>
        <v>0</v>
      </c>
      <c r="C15" s="19">
        <f t="shared" si="7"/>
        <v>0</v>
      </c>
      <c r="D15" s="19">
        <f t="shared" si="7"/>
        <v>0</v>
      </c>
      <c r="E15" s="19">
        <f t="shared" si="7"/>
        <v>3508.4000000000015</v>
      </c>
      <c r="F15" s="19">
        <f t="shared" si="7"/>
        <v>0</v>
      </c>
      <c r="G15" s="19">
        <f t="shared" ref="G15:I15" si="8">(G4-G9)</f>
        <v>1979.33</v>
      </c>
      <c r="H15" s="19">
        <f t="shared" si="8"/>
        <v>2539.0699999999997</v>
      </c>
      <c r="I15" s="19">
        <f t="shared" si="8"/>
        <v>2936.0699999999979</v>
      </c>
      <c r="J15" s="19">
        <f>(J4-J9)</f>
        <v>3997.6799999999985</v>
      </c>
      <c r="K15" s="19">
        <f>(K4-K9)</f>
        <v>5377.32</v>
      </c>
      <c r="M15" s="18" t="s">
        <v>29</v>
      </c>
      <c r="N15" s="27">
        <f>N53-N38-N8</f>
        <v>0</v>
      </c>
      <c r="O15" s="27">
        <f>O53-O38-O8</f>
        <v>0</v>
      </c>
      <c r="P15" s="27">
        <f>P53-P38-P8</f>
        <v>0</v>
      </c>
      <c r="Q15" s="27">
        <f>Q53-Q38-Q8-Q50</f>
        <v>12048.8</v>
      </c>
      <c r="R15" s="27">
        <f>R53-R38-R8-R50</f>
        <v>0</v>
      </c>
      <c r="S15" s="27">
        <f t="shared" ref="S15:U15" si="9">S53-S38</f>
        <v>8226.34</v>
      </c>
      <c r="T15" s="27">
        <f t="shared" si="9"/>
        <v>9328.5299999999988</v>
      </c>
      <c r="U15" s="27">
        <f t="shared" si="9"/>
        <v>10981.14</v>
      </c>
      <c r="V15" s="27">
        <f>V53-V38</f>
        <v>14239.199999999999</v>
      </c>
      <c r="W15" s="27">
        <f>W53-W38</f>
        <v>17369.839999999997</v>
      </c>
      <c r="X15" s="1" t="s">
        <v>118</v>
      </c>
    </row>
    <row r="16" spans="1:24" ht="15" customHeight="1" x14ac:dyDescent="0.3">
      <c r="A16" s="21" t="s">
        <v>18</v>
      </c>
      <c r="B16" s="22"/>
      <c r="C16" s="23"/>
      <c r="D16" s="23"/>
      <c r="E16" s="23"/>
      <c r="F16" s="23"/>
      <c r="G16" s="23"/>
      <c r="H16" s="23">
        <f>(H15/G15-1)</f>
        <v>0.28279266216345933</v>
      </c>
      <c r="I16" s="23">
        <f>(I15/H15-1)</f>
        <v>0.15635646122399072</v>
      </c>
      <c r="J16" s="23">
        <f>(J15/I15-1)</f>
        <v>0.36157516680460655</v>
      </c>
      <c r="K16" s="23">
        <f>(K15/J15-1)</f>
        <v>0.34511016389505955</v>
      </c>
      <c r="M16" s="12" t="s">
        <v>31</v>
      </c>
      <c r="N16" s="29">
        <f>N14-N15</f>
        <v>0</v>
      </c>
      <c r="O16" s="29"/>
      <c r="P16" s="29"/>
      <c r="Q16" s="30">
        <v>4391</v>
      </c>
      <c r="R16" s="31">
        <v>2759.01</v>
      </c>
      <c r="S16" s="31">
        <v>2976.74</v>
      </c>
      <c r="T16" s="31">
        <v>3609.4</v>
      </c>
      <c r="U16" s="31">
        <v>4468.32</v>
      </c>
      <c r="V16" s="31"/>
      <c r="W16" s="10"/>
    </row>
    <row r="17" spans="1:25" ht="15" customHeight="1" x14ac:dyDescent="0.3">
      <c r="A17" s="21" t="s">
        <v>19</v>
      </c>
      <c r="B17" s="22"/>
      <c r="C17" s="23"/>
      <c r="D17" s="23"/>
      <c r="E17" s="23"/>
      <c r="F17" s="23"/>
      <c r="G17" s="23"/>
      <c r="H17" s="23"/>
      <c r="I17" s="23"/>
      <c r="J17" s="23">
        <f>(J15/G15)^(1/3)-1</f>
        <v>0.26404714895465764</v>
      </c>
      <c r="K17" s="23">
        <f>(K15/H15)^(1/3)-1</f>
        <v>0.28419330822709732</v>
      </c>
      <c r="N17" s="32"/>
      <c r="O17" s="32"/>
      <c r="P17" s="32"/>
      <c r="Q17" s="32"/>
      <c r="R17" s="13"/>
      <c r="S17" s="13"/>
      <c r="T17" s="13"/>
      <c r="U17" s="13"/>
      <c r="V17" s="13"/>
      <c r="W17" s="96"/>
    </row>
    <row r="18" spans="1:25" ht="15" customHeight="1" x14ac:dyDescent="0.3">
      <c r="A18" s="18" t="s">
        <v>32</v>
      </c>
      <c r="B18" s="33" t="e">
        <f t="shared" ref="B18:F18" si="10">(B15/B6)</f>
        <v>#DIV/0!</v>
      </c>
      <c r="C18" s="33" t="e">
        <f t="shared" si="10"/>
        <v>#DIV/0!</v>
      </c>
      <c r="D18" s="33" t="e">
        <f t="shared" si="10"/>
        <v>#DIV/0!</v>
      </c>
      <c r="E18" s="33">
        <f t="shared" si="10"/>
        <v>0.12068135224755437</v>
      </c>
      <c r="F18" s="33" t="e">
        <f t="shared" si="10"/>
        <v>#DIV/0!</v>
      </c>
      <c r="G18" s="33">
        <f t="shared" ref="G18:I18" si="11">(G15/G4)</f>
        <v>0.17269244494001268</v>
      </c>
      <c r="H18" s="33">
        <f t="shared" si="11"/>
        <v>0.18355987906636456</v>
      </c>
      <c r="I18" s="33">
        <f t="shared" si="11"/>
        <v>0.22479844421134823</v>
      </c>
      <c r="J18" s="33">
        <f>(J15/J4)</f>
        <v>0.25147845057247686</v>
      </c>
      <c r="K18" s="33">
        <f>(K15/K4)</f>
        <v>0.28083959618327387</v>
      </c>
      <c r="M18" s="12" t="s">
        <v>33</v>
      </c>
      <c r="N18" s="13"/>
      <c r="O18" s="13"/>
      <c r="P18" s="13"/>
      <c r="Q18" s="14">
        <v>1536.6</v>
      </c>
      <c r="R18" s="15">
        <v>0</v>
      </c>
      <c r="S18" s="15">
        <v>803.52</v>
      </c>
      <c r="T18" s="15">
        <v>1206.1300000000001</v>
      </c>
      <c r="U18" s="15">
        <v>1897</v>
      </c>
      <c r="V18" s="15">
        <v>3469.71</v>
      </c>
      <c r="W18" s="16">
        <v>4696.9399999999996</v>
      </c>
    </row>
    <row r="19" spans="1:25" ht="15" customHeight="1" x14ac:dyDescent="0.25">
      <c r="A19" s="12" t="s">
        <v>34</v>
      </c>
      <c r="B19" s="13"/>
      <c r="C19" s="13"/>
      <c r="D19" s="13"/>
      <c r="E19" s="13">
        <v>261.8</v>
      </c>
      <c r="F19" s="13">
        <v>0</v>
      </c>
      <c r="G19" s="13">
        <v>537.15</v>
      </c>
      <c r="H19" s="13">
        <v>565.87</v>
      </c>
      <c r="I19" s="13">
        <v>634.54999999999995</v>
      </c>
      <c r="J19" s="13">
        <v>918.43</v>
      </c>
      <c r="K19" s="13">
        <v>1318.18</v>
      </c>
      <c r="M19" s="12" t="s">
        <v>35</v>
      </c>
      <c r="N19" s="13"/>
      <c r="O19" s="13"/>
      <c r="P19" s="13"/>
      <c r="Q19" s="14">
        <v>1.1000000000000001</v>
      </c>
      <c r="R19" s="15">
        <v>0</v>
      </c>
      <c r="S19" s="15">
        <v>4.01</v>
      </c>
      <c r="T19" s="15">
        <v>28.86</v>
      </c>
      <c r="U19" s="15">
        <v>226.81</v>
      </c>
      <c r="V19" s="15">
        <v>435.83</v>
      </c>
      <c r="W19" s="16">
        <v>203.13</v>
      </c>
    </row>
    <row r="20" spans="1:25" ht="15" customHeight="1" x14ac:dyDescent="0.25">
      <c r="A20" s="12" t="s">
        <v>36</v>
      </c>
      <c r="B20" s="13"/>
      <c r="C20" s="13"/>
      <c r="D20" s="13"/>
      <c r="E20" s="13">
        <v>615</v>
      </c>
      <c r="F20" s="13">
        <v>0</v>
      </c>
      <c r="G20" s="13">
        <v>74.489999999999995</v>
      </c>
      <c r="H20" s="13">
        <v>73.150000000000006</v>
      </c>
      <c r="I20" s="13">
        <v>82.32</v>
      </c>
      <c r="J20" s="13">
        <v>143.9</v>
      </c>
      <c r="K20" s="13">
        <v>196.15</v>
      </c>
      <c r="M20" s="12" t="s">
        <v>37</v>
      </c>
      <c r="N20" s="13"/>
      <c r="O20" s="13"/>
      <c r="P20" s="13"/>
      <c r="Q20" s="14"/>
      <c r="R20" s="15"/>
      <c r="S20" s="15">
        <v>812.74</v>
      </c>
      <c r="T20" s="15">
        <v>838.59</v>
      </c>
      <c r="U20" s="15">
        <v>1210.79</v>
      </c>
      <c r="V20" s="15">
        <v>1799.99</v>
      </c>
      <c r="W20" s="16">
        <v>1826.45</v>
      </c>
      <c r="Y20" s="35"/>
    </row>
    <row r="21" spans="1:25" ht="15" customHeight="1" x14ac:dyDescent="0.3">
      <c r="A21" s="18" t="s">
        <v>40</v>
      </c>
      <c r="B21" s="27" t="e">
        <f>(B15-B19-B20-#REF!)</f>
        <v>#REF!</v>
      </c>
      <c r="C21" s="27" t="e">
        <f>(C15-C19-C20-#REF!)</f>
        <v>#REF!</v>
      </c>
      <c r="D21" s="27" t="e">
        <f>(D15-D19-D20-#REF!)</f>
        <v>#REF!</v>
      </c>
      <c r="E21" s="27" t="e">
        <f>(E15-E19-E20-#REF!)</f>
        <v>#REF!</v>
      </c>
      <c r="F21" s="27">
        <f t="shared" ref="F21" si="12">(F15-F19-F20)</f>
        <v>0</v>
      </c>
      <c r="G21" s="27">
        <f t="shared" ref="G21:I21" si="13">(G15-G19-G20+G5)</f>
        <v>1499.2899999999997</v>
      </c>
      <c r="H21" s="27">
        <f t="shared" si="13"/>
        <v>1950.6099999999997</v>
      </c>
      <c r="I21" s="27">
        <f t="shared" si="13"/>
        <v>2377.5099999999975</v>
      </c>
      <c r="J21" s="27">
        <f>(J15-J19-J20+J5)</f>
        <v>3014.4499999999985</v>
      </c>
      <c r="K21" s="27">
        <f>(K15-K19-K20+K5)</f>
        <v>4010.1699999999992</v>
      </c>
      <c r="L21" s="35"/>
      <c r="M21" s="12" t="s">
        <v>38</v>
      </c>
      <c r="N21" s="13"/>
      <c r="O21" s="13"/>
      <c r="P21" s="13"/>
      <c r="Q21" s="14">
        <v>192.2</v>
      </c>
      <c r="R21" s="15">
        <v>0</v>
      </c>
      <c r="S21" s="15">
        <v>2033.63</v>
      </c>
      <c r="T21" s="15">
        <v>2033.63</v>
      </c>
      <c r="U21" s="15">
        <v>2033.63</v>
      </c>
      <c r="V21" s="15">
        <v>2060.77</v>
      </c>
      <c r="W21" s="16">
        <v>2060.77</v>
      </c>
      <c r="Y21" s="35"/>
    </row>
    <row r="22" spans="1:25" ht="15" customHeight="1" x14ac:dyDescent="0.25">
      <c r="A22" s="12" t="s">
        <v>42</v>
      </c>
      <c r="B22" s="13"/>
      <c r="C22" s="13"/>
      <c r="D22" s="13"/>
      <c r="E22" s="13">
        <f>269.1-269</f>
        <v>0.10000000000002274</v>
      </c>
      <c r="F22" s="13">
        <v>0</v>
      </c>
      <c r="G22" s="13">
        <v>537.88</v>
      </c>
      <c r="H22" s="13">
        <v>603.52</v>
      </c>
      <c r="I22" s="13">
        <v>692.27</v>
      </c>
      <c r="J22" s="13">
        <v>774.07</v>
      </c>
      <c r="K22" s="13">
        <v>1037.81</v>
      </c>
      <c r="M22" s="12" t="s">
        <v>39</v>
      </c>
      <c r="N22" s="36"/>
      <c r="O22" s="36"/>
      <c r="P22" s="36"/>
      <c r="Q22" s="13">
        <v>5.5</v>
      </c>
      <c r="R22" s="15">
        <v>0</v>
      </c>
      <c r="S22" s="15">
        <f>164.23+21.48</f>
        <v>185.70999999999998</v>
      </c>
      <c r="T22" s="15">
        <f>183.36+10.47</f>
        <v>193.83</v>
      </c>
      <c r="U22" s="15">
        <f>189.54+4.66</f>
        <v>194.2</v>
      </c>
      <c r="V22" s="15">
        <f>173.09+1.02</f>
        <v>174.11</v>
      </c>
      <c r="W22" s="16">
        <f>109.15+0.24</f>
        <v>109.39</v>
      </c>
    </row>
    <row r="23" spans="1:25" ht="15" customHeight="1" x14ac:dyDescent="0.3">
      <c r="A23" s="21" t="s">
        <v>44</v>
      </c>
      <c r="B23" s="23" t="e">
        <f t="shared" ref="B23:J23" si="14">(B22/B21)</f>
        <v>#REF!</v>
      </c>
      <c r="C23" s="23" t="e">
        <f t="shared" si="14"/>
        <v>#REF!</v>
      </c>
      <c r="D23" s="23" t="e">
        <f t="shared" si="14"/>
        <v>#REF!</v>
      </c>
      <c r="E23" s="23" t="e">
        <f t="shared" si="14"/>
        <v>#REF!</v>
      </c>
      <c r="F23" s="23" t="e">
        <f t="shared" si="14"/>
        <v>#DIV/0!</v>
      </c>
      <c r="G23" s="23">
        <f>(G22/G21)</f>
        <v>0.35875647806628475</v>
      </c>
      <c r="H23" s="23">
        <f>(H22/H21)</f>
        <v>0.30940064902774006</v>
      </c>
      <c r="I23" s="23">
        <f t="shared" si="14"/>
        <v>0.29117437991848644</v>
      </c>
      <c r="J23" s="23">
        <f t="shared" si="14"/>
        <v>0.25678647846207447</v>
      </c>
      <c r="K23" s="23">
        <f t="shared" ref="K23" si="15">(K22/K21)</f>
        <v>0.25879451494575045</v>
      </c>
      <c r="M23" s="12" t="s">
        <v>41</v>
      </c>
      <c r="N23" s="13"/>
      <c r="O23" s="13"/>
      <c r="P23" s="13"/>
      <c r="Q23" s="14">
        <v>101.3</v>
      </c>
      <c r="R23" s="15">
        <v>0</v>
      </c>
      <c r="S23" s="15">
        <v>337.68</v>
      </c>
      <c r="T23" s="15">
        <v>272.95999999999998</v>
      </c>
      <c r="U23" s="15">
        <v>247.83</v>
      </c>
      <c r="V23" s="15">
        <v>330.74</v>
      </c>
      <c r="W23" s="99">
        <v>368.6</v>
      </c>
    </row>
    <row r="24" spans="1:25" ht="15" customHeight="1" x14ac:dyDescent="0.3">
      <c r="A24" s="18" t="s">
        <v>46</v>
      </c>
      <c r="B24" s="27" t="e">
        <f t="shared" ref="B24:E24" si="16">(B21-B22)</f>
        <v>#REF!</v>
      </c>
      <c r="C24" s="27" t="e">
        <f t="shared" si="16"/>
        <v>#REF!</v>
      </c>
      <c r="D24" s="27" t="e">
        <f t="shared" si="16"/>
        <v>#REF!</v>
      </c>
      <c r="E24" s="27" t="e">
        <f t="shared" si="16"/>
        <v>#REF!</v>
      </c>
      <c r="F24" s="27">
        <f t="shared" ref="F24:K24" si="17">(F21-F22)</f>
        <v>0</v>
      </c>
      <c r="G24" s="27">
        <f t="shared" si="17"/>
        <v>961.40999999999974</v>
      </c>
      <c r="H24" s="27">
        <f t="shared" si="17"/>
        <v>1347.0899999999997</v>
      </c>
      <c r="I24" s="27">
        <f t="shared" si="17"/>
        <v>1685.2399999999975</v>
      </c>
      <c r="J24" s="27">
        <f t="shared" si="17"/>
        <v>2240.3799999999983</v>
      </c>
      <c r="K24" s="27">
        <f t="shared" si="17"/>
        <v>2972.3599999999992</v>
      </c>
      <c r="M24" s="37" t="s">
        <v>43</v>
      </c>
      <c r="N24" s="38"/>
      <c r="O24" s="38"/>
      <c r="P24" s="38"/>
      <c r="Q24" s="39"/>
      <c r="R24" s="15">
        <v>0</v>
      </c>
      <c r="S24" s="15">
        <v>249.26</v>
      </c>
      <c r="T24" s="15">
        <v>196.54</v>
      </c>
      <c r="U24" s="15">
        <v>99.34</v>
      </c>
      <c r="V24" s="15">
        <v>304.39999999999998</v>
      </c>
      <c r="W24" s="99">
        <v>196.28</v>
      </c>
    </row>
    <row r="25" spans="1:25" ht="15" customHeight="1" x14ac:dyDescent="0.3">
      <c r="A25" s="18" t="s">
        <v>48</v>
      </c>
      <c r="B25" s="41" t="e">
        <f t="shared" ref="B25:J25" si="18">B24/B6</f>
        <v>#REF!</v>
      </c>
      <c r="C25" s="41" t="e">
        <f t="shared" si="18"/>
        <v>#REF!</v>
      </c>
      <c r="D25" s="41" t="e">
        <f t="shared" si="18"/>
        <v>#REF!</v>
      </c>
      <c r="E25" s="41" t="e">
        <f t="shared" si="18"/>
        <v>#REF!</v>
      </c>
      <c r="F25" s="41" t="e">
        <f t="shared" si="18"/>
        <v>#DIV/0!</v>
      </c>
      <c r="G25" s="41">
        <f t="shared" si="18"/>
        <v>8.2928857372302156E-2</v>
      </c>
      <c r="H25" s="41">
        <f t="shared" si="18"/>
        <v>9.7032040763699895E-2</v>
      </c>
      <c r="I25" s="41">
        <f t="shared" si="18"/>
        <v>0.12748416887242109</v>
      </c>
      <c r="J25" s="41">
        <f t="shared" si="18"/>
        <v>0.14023576895318599</v>
      </c>
      <c r="K25" s="41">
        <f>K24/K4</f>
        <v>0.15523650854167426</v>
      </c>
      <c r="M25" s="37" t="s">
        <v>45</v>
      </c>
      <c r="Q25" s="39">
        <v>453.1</v>
      </c>
      <c r="R25" s="15">
        <v>0</v>
      </c>
      <c r="S25" s="15">
        <v>0.08</v>
      </c>
      <c r="T25" s="15">
        <v>0.08</v>
      </c>
      <c r="U25" s="15">
        <v>0.08</v>
      </c>
      <c r="V25" s="15">
        <v>0.08</v>
      </c>
      <c r="W25" s="96">
        <v>337.55</v>
      </c>
    </row>
    <row r="26" spans="1:25" ht="15" customHeight="1" x14ac:dyDescent="0.25">
      <c r="A26" s="12" t="s">
        <v>50</v>
      </c>
      <c r="B26" s="42"/>
      <c r="C26" s="42"/>
      <c r="D26" s="42"/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M26" s="12" t="s">
        <v>47</v>
      </c>
      <c r="N26" s="13"/>
      <c r="O26" s="13"/>
      <c r="P26" s="13"/>
      <c r="Q26" s="14"/>
      <c r="R26" s="15">
        <v>0</v>
      </c>
      <c r="S26" s="15">
        <v>259.91000000000003</v>
      </c>
      <c r="T26" s="15">
        <v>226.19</v>
      </c>
      <c r="U26" s="15">
        <v>238.74</v>
      </c>
      <c r="V26" s="15">
        <v>226.1</v>
      </c>
      <c r="W26" s="16">
        <v>318.8</v>
      </c>
    </row>
    <row r="27" spans="1:25" ht="15" customHeight="1" x14ac:dyDescent="0.25">
      <c r="A27" s="12" t="s">
        <v>51</v>
      </c>
      <c r="B27" s="42"/>
      <c r="C27" s="42"/>
      <c r="D27" s="42"/>
      <c r="E27" s="42">
        <v>68.8</v>
      </c>
      <c r="F27" s="42">
        <v>0</v>
      </c>
      <c r="G27" s="42">
        <v>-1.41</v>
      </c>
      <c r="H27" s="42">
        <v>-11.25</v>
      </c>
      <c r="I27" s="42">
        <v>-1.39</v>
      </c>
      <c r="J27" s="42">
        <v>3.77</v>
      </c>
      <c r="K27" s="42">
        <v>4.1399999999999997</v>
      </c>
      <c r="M27" s="12" t="s">
        <v>49</v>
      </c>
      <c r="N27" s="13"/>
      <c r="O27" s="13"/>
      <c r="P27" s="13"/>
      <c r="Q27" s="14">
        <v>0</v>
      </c>
      <c r="R27" s="15">
        <v>0</v>
      </c>
      <c r="S27" s="15">
        <v>78.72</v>
      </c>
      <c r="T27" s="15">
        <v>134</v>
      </c>
      <c r="U27" s="15">
        <v>166.43</v>
      </c>
      <c r="V27" s="15">
        <v>210.03</v>
      </c>
      <c r="W27" s="16">
        <v>112.15</v>
      </c>
      <c r="X27" s="35"/>
    </row>
    <row r="28" spans="1:25" ht="15" customHeight="1" x14ac:dyDescent="0.3">
      <c r="A28" s="18" t="s">
        <v>53</v>
      </c>
      <c r="B28" s="43" t="e">
        <f t="shared" ref="B28:F28" si="19">(B24-B26+B27)</f>
        <v>#REF!</v>
      </c>
      <c r="C28" s="43" t="e">
        <f t="shared" si="19"/>
        <v>#REF!</v>
      </c>
      <c r="D28" s="43" t="e">
        <f t="shared" si="19"/>
        <v>#REF!</v>
      </c>
      <c r="E28" s="19" t="e">
        <f t="shared" si="19"/>
        <v>#REF!</v>
      </c>
      <c r="F28" s="19">
        <f t="shared" si="19"/>
        <v>0</v>
      </c>
      <c r="G28" s="19">
        <f>(G24-G26+G27)</f>
        <v>959.99999999999977</v>
      </c>
      <c r="H28" s="19">
        <f>(H24-H26+H27)</f>
        <v>1335.8399999999997</v>
      </c>
      <c r="I28" s="19">
        <f>(I24-I26+I27)</f>
        <v>1683.8499999999974</v>
      </c>
      <c r="J28" s="19">
        <f>(J24-J26+J27)</f>
        <v>2244.1499999999983</v>
      </c>
      <c r="K28" s="19">
        <f>(K24-K26+K27)</f>
        <v>2976.4999999999991</v>
      </c>
      <c r="M28" s="12"/>
      <c r="N28" s="13"/>
      <c r="O28" s="13"/>
      <c r="P28" s="13"/>
      <c r="Q28" s="14">
        <v>21.9</v>
      </c>
      <c r="R28" s="15">
        <v>0</v>
      </c>
      <c r="S28" s="15">
        <v>0</v>
      </c>
      <c r="T28" s="15">
        <v>0</v>
      </c>
      <c r="U28" s="15">
        <v>0</v>
      </c>
      <c r="V28" s="15"/>
      <c r="W28" s="16"/>
      <c r="X28" s="17"/>
    </row>
    <row r="29" spans="1:25" ht="15" customHeight="1" x14ac:dyDescent="0.3">
      <c r="A29" s="21" t="s">
        <v>18</v>
      </c>
      <c r="B29" s="44"/>
      <c r="C29" s="23" t="e">
        <f>(C28/B28-1)</f>
        <v>#REF!</v>
      </c>
      <c r="D29" s="23" t="e">
        <f>-(D28/C28-1)</f>
        <v>#REF!</v>
      </c>
      <c r="E29" s="23" t="s">
        <v>55</v>
      </c>
      <c r="F29" s="23"/>
      <c r="G29" s="23"/>
      <c r="H29" s="23">
        <f>(H28/G28-1)</f>
        <v>0.39149999999999996</v>
      </c>
      <c r="I29" s="23">
        <f>(I28/H28-1)</f>
        <v>0.26051772667385142</v>
      </c>
      <c r="J29" s="23">
        <f>(J28/I28-1)</f>
        <v>0.3327493541586255</v>
      </c>
      <c r="K29" s="23">
        <f>(K28/J28-1)</f>
        <v>0.32633736604059504</v>
      </c>
      <c r="M29" s="18" t="s">
        <v>52</v>
      </c>
      <c r="N29" s="19">
        <f>SUM(N30:N36)</f>
        <v>0</v>
      </c>
      <c r="O29" s="19">
        <f>SUM(O30:O36)</f>
        <v>0</v>
      </c>
      <c r="P29" s="19">
        <f>SUM(P30:P36)</f>
        <v>0</v>
      </c>
      <c r="Q29" s="19">
        <f t="shared" ref="Q29:V29" si="20">SUM(Q30:Q37)</f>
        <v>17434</v>
      </c>
      <c r="R29" s="19">
        <f t="shared" si="20"/>
        <v>0</v>
      </c>
      <c r="S29" s="19">
        <f t="shared" si="20"/>
        <v>6161.7800000000007</v>
      </c>
      <c r="T29" s="19">
        <f t="shared" si="20"/>
        <v>8196.57</v>
      </c>
      <c r="U29" s="19">
        <f t="shared" si="20"/>
        <v>9803.25</v>
      </c>
      <c r="V29" s="19">
        <f t="shared" si="20"/>
        <v>9545.1999999999989</v>
      </c>
      <c r="W29" s="19">
        <f>SUM(W30:W37)</f>
        <v>10782.199999999999</v>
      </c>
    </row>
    <row r="30" spans="1:25" ht="15" customHeight="1" x14ac:dyDescent="0.3">
      <c r="A30" s="21" t="s">
        <v>19</v>
      </c>
      <c r="B30" s="44"/>
      <c r="C30" s="23"/>
      <c r="D30" s="23"/>
      <c r="E30" s="23"/>
      <c r="F30" s="23"/>
      <c r="G30" s="23" t="s">
        <v>55</v>
      </c>
      <c r="H30" s="23"/>
      <c r="I30" s="23"/>
      <c r="J30" s="23">
        <f>(J28/G28)^(1/3)-1</f>
        <v>0.32717099886634116</v>
      </c>
      <c r="K30" s="23">
        <f>(K28/H28)^(1/3)-1</f>
        <v>0.30612220969825032</v>
      </c>
      <c r="M30" s="12" t="s">
        <v>54</v>
      </c>
      <c r="N30" s="13"/>
      <c r="O30" s="13"/>
      <c r="P30" s="13"/>
      <c r="Q30" s="13">
        <v>2761.9</v>
      </c>
      <c r="R30" s="15">
        <v>0</v>
      </c>
      <c r="S30" s="15">
        <v>416.38</v>
      </c>
      <c r="T30" s="15">
        <v>430.44</v>
      </c>
      <c r="U30" s="15">
        <v>894.73</v>
      </c>
      <c r="V30" s="15">
        <v>634.82000000000005</v>
      </c>
      <c r="W30" s="16">
        <v>741.7</v>
      </c>
    </row>
    <row r="31" spans="1:25" ht="15" customHeight="1" x14ac:dyDescent="0.3">
      <c r="A31" s="5" t="s">
        <v>58</v>
      </c>
      <c r="B31" s="45"/>
      <c r="C31" s="45"/>
      <c r="D31" s="45"/>
      <c r="E31" s="45">
        <v>1.21</v>
      </c>
      <c r="F31" s="46">
        <v>0</v>
      </c>
      <c r="G31" s="46">
        <v>6.33</v>
      </c>
      <c r="H31" s="46">
        <v>8.8699999999999992</v>
      </c>
      <c r="I31" s="46">
        <v>11.09</v>
      </c>
      <c r="J31" s="46">
        <v>14.33</v>
      </c>
      <c r="K31" s="46">
        <v>18.670000000000002</v>
      </c>
      <c r="M31" s="12" t="s">
        <v>56</v>
      </c>
      <c r="N31" s="36"/>
      <c r="O31" s="36"/>
      <c r="P31" s="36"/>
      <c r="Q31" s="13">
        <v>12.5</v>
      </c>
      <c r="R31" s="15">
        <v>0</v>
      </c>
      <c r="S31" s="15">
        <v>115.7</v>
      </c>
      <c r="T31" s="15">
        <v>566.23</v>
      </c>
      <c r="U31" s="15">
        <v>1122.55</v>
      </c>
      <c r="V31" s="15">
        <v>1235.02</v>
      </c>
      <c r="W31" s="99">
        <v>2454.89</v>
      </c>
    </row>
    <row r="32" spans="1:25" ht="15" customHeight="1" x14ac:dyDescent="0.25">
      <c r="A32" s="26" t="s">
        <v>18</v>
      </c>
      <c r="B32" s="47"/>
      <c r="C32" s="48" t="e">
        <f>(C31/B31-1)</f>
        <v>#DIV/0!</v>
      </c>
      <c r="D32" s="48" t="e">
        <f>-(D31/C31-1)</f>
        <v>#DIV/0!</v>
      </c>
      <c r="E32" s="48" t="s">
        <v>55</v>
      </c>
      <c r="F32" s="48"/>
      <c r="G32" s="48"/>
      <c r="H32" s="48">
        <f>(H31/G31-1)</f>
        <v>0.40126382306477071</v>
      </c>
      <c r="I32" s="48">
        <f>(I31/H31-1)</f>
        <v>0.2502818489289742</v>
      </c>
      <c r="J32" s="48">
        <f>(J31/I31-1)</f>
        <v>0.29215509467989187</v>
      </c>
      <c r="K32" s="48">
        <f>(K31/J31-1)</f>
        <v>0.30286113049546426</v>
      </c>
      <c r="M32" s="12" t="s">
        <v>57</v>
      </c>
      <c r="N32" s="13"/>
      <c r="O32" s="13"/>
      <c r="P32" s="13"/>
      <c r="Q32" s="13">
        <v>11126.5</v>
      </c>
      <c r="R32" s="15">
        <v>0</v>
      </c>
      <c r="S32" s="15">
        <v>2502.33</v>
      </c>
      <c r="T32" s="15">
        <v>3344.57</v>
      </c>
      <c r="U32" s="15">
        <v>3490.95</v>
      </c>
      <c r="V32" s="15">
        <v>4993.21</v>
      </c>
      <c r="W32" s="98">
        <v>5260.03</v>
      </c>
    </row>
    <row r="33" spans="1:23" ht="15" customHeight="1" x14ac:dyDescent="0.25">
      <c r="A33" s="26" t="s">
        <v>61</v>
      </c>
      <c r="B33" s="47"/>
      <c r="C33" s="49"/>
      <c r="D33" s="49"/>
      <c r="E33" s="50"/>
      <c r="F33" s="50"/>
      <c r="G33" s="50"/>
      <c r="H33" s="50"/>
      <c r="I33" s="50"/>
      <c r="J33" s="50"/>
      <c r="K33" s="50"/>
      <c r="M33" s="12" t="s">
        <v>59</v>
      </c>
      <c r="N33" s="13"/>
      <c r="O33" s="13"/>
      <c r="P33" s="13"/>
      <c r="Q33" s="13">
        <f>90.7+779.2</f>
        <v>869.90000000000009</v>
      </c>
      <c r="R33" s="15">
        <v>0</v>
      </c>
      <c r="S33" s="15">
        <v>1220.3399999999999</v>
      </c>
      <c r="T33" s="15">
        <v>1591.3</v>
      </c>
      <c r="U33" s="15">
        <v>1335.14</v>
      </c>
      <c r="V33" s="15">
        <v>643.47</v>
      </c>
      <c r="W33" s="16">
        <v>963.14</v>
      </c>
    </row>
    <row r="34" spans="1:23" ht="15" customHeight="1" x14ac:dyDescent="0.25">
      <c r="M34" s="12" t="s">
        <v>60</v>
      </c>
      <c r="N34" s="13"/>
      <c r="O34" s="13"/>
      <c r="P34" s="13"/>
      <c r="Q34" s="13">
        <v>27.5</v>
      </c>
      <c r="R34" s="15">
        <v>0</v>
      </c>
      <c r="S34" s="15">
        <v>171.68</v>
      </c>
      <c r="T34" s="15">
        <v>314.19</v>
      </c>
      <c r="U34" s="15">
        <v>610.34</v>
      </c>
      <c r="V34" s="15">
        <v>774.3</v>
      </c>
      <c r="W34" s="16">
        <v>599.38</v>
      </c>
    </row>
    <row r="35" spans="1:23" ht="15" customHeight="1" x14ac:dyDescent="0.25">
      <c r="M35" s="12" t="s">
        <v>62</v>
      </c>
      <c r="N35" s="36"/>
      <c r="O35" s="36"/>
      <c r="P35" s="36"/>
      <c r="Q35" s="13">
        <v>2172.3000000000002</v>
      </c>
      <c r="R35" s="15">
        <v>0</v>
      </c>
      <c r="S35" s="15">
        <v>1421.38</v>
      </c>
      <c r="T35" s="15">
        <v>1453.64</v>
      </c>
      <c r="U35" s="15">
        <v>1916.1</v>
      </c>
      <c r="V35" s="15">
        <v>276.49</v>
      </c>
      <c r="W35" s="16">
        <v>29.62</v>
      </c>
    </row>
    <row r="36" spans="1:23" ht="15.6" x14ac:dyDescent="0.3">
      <c r="A36" s="2" t="s">
        <v>65</v>
      </c>
      <c r="M36" s="37" t="s">
        <v>63</v>
      </c>
      <c r="N36" s="51"/>
      <c r="O36" s="51"/>
      <c r="P36" s="51"/>
      <c r="Q36" s="51">
        <v>463.4</v>
      </c>
      <c r="R36" s="15">
        <v>0</v>
      </c>
      <c r="S36" s="15">
        <v>313.97000000000003</v>
      </c>
      <c r="T36" s="15">
        <v>496.2</v>
      </c>
      <c r="U36" s="15">
        <v>433.44</v>
      </c>
      <c r="V36" s="15">
        <v>987.89</v>
      </c>
      <c r="W36" s="16">
        <v>733.44</v>
      </c>
    </row>
    <row r="37" spans="1:23" ht="15.6" x14ac:dyDescent="0.3">
      <c r="A37" s="5" t="s">
        <v>3</v>
      </c>
      <c r="B37" s="52" t="s">
        <v>4</v>
      </c>
      <c r="C37" s="52" t="s">
        <v>5</v>
      </c>
      <c r="D37" s="52" t="s">
        <v>6</v>
      </c>
      <c r="E37" s="52" t="s">
        <v>7</v>
      </c>
      <c r="F37" s="52" t="s">
        <v>8</v>
      </c>
      <c r="G37" s="52" t="s">
        <v>9</v>
      </c>
      <c r="H37" s="52" t="s">
        <v>10</v>
      </c>
      <c r="I37" s="52" t="s">
        <v>11</v>
      </c>
      <c r="J37" s="52" t="s">
        <v>113</v>
      </c>
      <c r="K37" s="52" t="s">
        <v>120</v>
      </c>
      <c r="L37" s="2"/>
      <c r="M37" s="12" t="s">
        <v>64</v>
      </c>
      <c r="N37" s="36"/>
      <c r="O37" s="36"/>
      <c r="P37" s="36"/>
      <c r="Q37" s="36">
        <v>0</v>
      </c>
      <c r="R37" s="15">
        <v>0</v>
      </c>
      <c r="S37" s="15">
        <v>0</v>
      </c>
      <c r="T37" s="15">
        <v>0</v>
      </c>
      <c r="U37" s="15">
        <v>0</v>
      </c>
      <c r="V37" s="15">
        <v>0</v>
      </c>
      <c r="W37" s="99"/>
    </row>
    <row r="38" spans="1:23" ht="15.6" x14ac:dyDescent="0.3">
      <c r="A38" s="5" t="s">
        <v>68</v>
      </c>
      <c r="B38" s="9"/>
      <c r="C38" s="9"/>
      <c r="D38" s="9"/>
      <c r="E38" s="31">
        <v>265.60000000000002</v>
      </c>
      <c r="F38" s="31">
        <v>0</v>
      </c>
      <c r="G38" s="31">
        <v>664.58</v>
      </c>
      <c r="H38" s="31">
        <f>G43</f>
        <v>1220.33</v>
      </c>
      <c r="I38" s="31">
        <f t="shared" ref="I38:J38" si="21">H43</f>
        <v>1591.2999999999997</v>
      </c>
      <c r="J38" s="31">
        <f t="shared" si="21"/>
        <v>1335.1399999999996</v>
      </c>
      <c r="K38" s="95">
        <f>J43</f>
        <v>643.46999999999957</v>
      </c>
      <c r="L38" s="2"/>
      <c r="M38" s="18" t="s">
        <v>66</v>
      </c>
      <c r="N38" s="19">
        <f>SUM(N41:N46)</f>
        <v>0</v>
      </c>
      <c r="O38" s="19">
        <f>SUM(O41:O46)</f>
        <v>0</v>
      </c>
      <c r="P38" s="19">
        <f>SUM(P41:P46)</f>
        <v>0</v>
      </c>
      <c r="Q38" s="19">
        <f>SUM(Q41:Q47)</f>
        <v>6079.6</v>
      </c>
      <c r="R38" s="19">
        <f>SUM(R40:R47)</f>
        <v>0</v>
      </c>
      <c r="S38" s="19">
        <f t="shared" ref="S38:U38" si="22">SUM(S39:S47)</f>
        <v>2700.7</v>
      </c>
      <c r="T38" s="19">
        <f t="shared" si="22"/>
        <v>3998.85</v>
      </c>
      <c r="U38" s="19">
        <f t="shared" si="22"/>
        <v>5136.96</v>
      </c>
      <c r="V38" s="19">
        <f>SUM(V39:V47)</f>
        <v>4317.76</v>
      </c>
      <c r="W38" s="19">
        <f>SUM(W39:W47)</f>
        <v>3642.42</v>
      </c>
    </row>
    <row r="39" spans="1:23" ht="15.6" x14ac:dyDescent="0.3">
      <c r="A39" s="5" t="s">
        <v>70</v>
      </c>
      <c r="B39" s="9"/>
      <c r="C39" s="9"/>
      <c r="D39" s="9"/>
      <c r="E39" s="9">
        <v>4.2</v>
      </c>
      <c r="F39" s="9">
        <v>0</v>
      </c>
      <c r="G39" s="9">
        <v>1017.81</v>
      </c>
      <c r="H39" s="9">
        <v>2141.56</v>
      </c>
      <c r="I39" s="9">
        <v>1854.42</v>
      </c>
      <c r="J39" s="9">
        <v>2565.12</v>
      </c>
      <c r="K39" s="5">
        <v>4067.62</v>
      </c>
      <c r="L39" s="2"/>
      <c r="M39" s="12" t="s">
        <v>115</v>
      </c>
      <c r="N39" s="53"/>
      <c r="O39" s="53"/>
      <c r="P39" s="53"/>
      <c r="Q39" s="54"/>
      <c r="R39" s="15"/>
      <c r="S39" s="15">
        <v>0</v>
      </c>
      <c r="T39" s="15">
        <v>0</v>
      </c>
      <c r="U39" s="15">
        <v>320.97000000000003</v>
      </c>
      <c r="V39" s="15">
        <v>460.67</v>
      </c>
      <c r="W39" s="53">
        <v>505.33</v>
      </c>
    </row>
    <row r="40" spans="1:23" ht="15.6" x14ac:dyDescent="0.3">
      <c r="A40" s="12" t="s">
        <v>72</v>
      </c>
      <c r="B40" s="13"/>
      <c r="C40" s="13"/>
      <c r="D40" s="13"/>
      <c r="E40" s="13">
        <v>372.8</v>
      </c>
      <c r="F40" s="13">
        <v>0</v>
      </c>
      <c r="G40" s="13">
        <v>61.89</v>
      </c>
      <c r="H40" s="13">
        <v>-1194.42</v>
      </c>
      <c r="I40" s="13">
        <v>-1493.39</v>
      </c>
      <c r="J40" s="13">
        <v>-3262.48</v>
      </c>
      <c r="K40" s="5">
        <v>-3226.23</v>
      </c>
      <c r="L40" s="2"/>
      <c r="M40" s="12" t="s">
        <v>67</v>
      </c>
      <c r="N40" s="53"/>
      <c r="O40" s="53"/>
      <c r="P40" s="53"/>
      <c r="Q40" s="54"/>
      <c r="R40" s="15">
        <v>0</v>
      </c>
      <c r="S40" s="15">
        <v>11.09</v>
      </c>
      <c r="T40" s="15">
        <v>100.37</v>
      </c>
      <c r="U40" s="15">
        <v>45.27</v>
      </c>
      <c r="V40" s="15">
        <v>79.81</v>
      </c>
      <c r="W40" s="53">
        <v>51.74</v>
      </c>
    </row>
    <row r="41" spans="1:23" ht="15.6" x14ac:dyDescent="0.3">
      <c r="A41" s="12" t="s">
        <v>74</v>
      </c>
      <c r="B41" s="13"/>
      <c r="C41" s="13"/>
      <c r="D41" s="13"/>
      <c r="E41" s="13">
        <v>-552</v>
      </c>
      <c r="F41" s="13">
        <v>0</v>
      </c>
      <c r="G41" s="13">
        <v>-523.95000000000005</v>
      </c>
      <c r="H41" s="13">
        <v>-576.16999999999996</v>
      </c>
      <c r="I41" s="13">
        <v>-617.19000000000005</v>
      </c>
      <c r="J41" s="13">
        <v>5.69</v>
      </c>
      <c r="K41" s="5">
        <v>-521.73</v>
      </c>
      <c r="M41" s="12" t="s">
        <v>69</v>
      </c>
      <c r="N41" s="13"/>
      <c r="O41" s="15"/>
      <c r="P41" s="15"/>
      <c r="Q41" s="34">
        <v>4953.3999999999996</v>
      </c>
      <c r="R41" s="15">
        <v>0</v>
      </c>
      <c r="S41" s="15">
        <v>745.88</v>
      </c>
      <c r="T41" s="15">
        <v>1612.34</v>
      </c>
      <c r="U41" s="15">
        <v>3016.28</v>
      </c>
      <c r="V41" s="15">
        <v>2378.9899999999998</v>
      </c>
      <c r="W41" s="98">
        <v>2200.4</v>
      </c>
    </row>
    <row r="42" spans="1:23" ht="15.6" x14ac:dyDescent="0.3">
      <c r="A42" s="5" t="s">
        <v>76</v>
      </c>
      <c r="B42" s="9"/>
      <c r="C42" s="9"/>
      <c r="D42" s="9"/>
      <c r="E42" s="9">
        <v>-175</v>
      </c>
      <c r="F42" s="9">
        <f>SUM(F39:F41)</f>
        <v>0</v>
      </c>
      <c r="G42" s="9">
        <f t="shared" ref="G42:K42" si="23">SUM(G39:G41)</f>
        <v>555.75</v>
      </c>
      <c r="H42" s="9">
        <f t="shared" si="23"/>
        <v>370.96999999999991</v>
      </c>
      <c r="I42" s="9">
        <f t="shared" si="23"/>
        <v>-256.16000000000008</v>
      </c>
      <c r="J42" s="9">
        <f t="shared" si="23"/>
        <v>-691.67000000000007</v>
      </c>
      <c r="K42" s="9">
        <f t="shared" si="23"/>
        <v>319.65999999999985</v>
      </c>
      <c r="M42" s="12" t="s">
        <v>71</v>
      </c>
      <c r="N42" s="13"/>
      <c r="O42" s="15"/>
      <c r="P42" s="15"/>
      <c r="Q42" s="34"/>
      <c r="R42" s="15">
        <v>0</v>
      </c>
      <c r="S42" s="15">
        <v>1706.98</v>
      </c>
      <c r="T42" s="15">
        <v>1801.68</v>
      </c>
      <c r="U42" s="15">
        <v>1410.45</v>
      </c>
      <c r="V42" s="15">
        <v>1066.03</v>
      </c>
      <c r="W42" s="98">
        <v>597.35</v>
      </c>
    </row>
    <row r="43" spans="1:23" ht="15.6" x14ac:dyDescent="0.3">
      <c r="A43" s="5" t="s">
        <v>77</v>
      </c>
      <c r="B43" s="19">
        <f t="shared" ref="B43:E43" si="24">+B38+B42</f>
        <v>0</v>
      </c>
      <c r="C43" s="19">
        <f t="shared" si="24"/>
        <v>0</v>
      </c>
      <c r="D43" s="19">
        <f t="shared" si="24"/>
        <v>0</v>
      </c>
      <c r="E43" s="19">
        <f t="shared" si="24"/>
        <v>90.600000000000023</v>
      </c>
      <c r="F43" s="19">
        <f>F38+F42</f>
        <v>0</v>
      </c>
      <c r="G43" s="19">
        <f t="shared" ref="G43:K43" si="25">G38+G42</f>
        <v>1220.33</v>
      </c>
      <c r="H43" s="19">
        <f t="shared" si="25"/>
        <v>1591.2999999999997</v>
      </c>
      <c r="I43" s="19">
        <f t="shared" si="25"/>
        <v>1335.1399999999996</v>
      </c>
      <c r="J43" s="19">
        <f t="shared" si="25"/>
        <v>643.46999999999957</v>
      </c>
      <c r="K43" s="19">
        <f t="shared" si="25"/>
        <v>963.12999999999943</v>
      </c>
      <c r="M43" s="12" t="s">
        <v>73</v>
      </c>
      <c r="N43" s="13"/>
      <c r="O43" s="15"/>
      <c r="P43" s="15"/>
      <c r="Q43" s="34"/>
      <c r="R43" s="15">
        <v>0</v>
      </c>
      <c r="S43" s="15">
        <v>193.6</v>
      </c>
      <c r="T43" s="15">
        <v>457.74</v>
      </c>
      <c r="U43" s="15">
        <v>314.77</v>
      </c>
      <c r="V43" s="15">
        <v>296.51</v>
      </c>
      <c r="W43" s="98">
        <v>255.5</v>
      </c>
    </row>
    <row r="44" spans="1:23" ht="15.6" x14ac:dyDescent="0.3">
      <c r="K44" s="2"/>
      <c r="M44" s="12" t="s">
        <v>75</v>
      </c>
      <c r="N44" s="13"/>
      <c r="O44" s="15"/>
      <c r="P44" s="15"/>
      <c r="Q44" s="34">
        <v>1082.0999999999999</v>
      </c>
      <c r="R44" s="15">
        <v>0</v>
      </c>
      <c r="S44" s="15">
        <v>0</v>
      </c>
      <c r="T44" s="15">
        <v>0</v>
      </c>
      <c r="U44" s="15">
        <v>0</v>
      </c>
      <c r="V44" s="15">
        <v>0</v>
      </c>
      <c r="W44" s="72">
        <v>0</v>
      </c>
    </row>
    <row r="45" spans="1:23" ht="15.6" x14ac:dyDescent="0.3">
      <c r="A45" s="5" t="s">
        <v>80</v>
      </c>
      <c r="B45" s="52" t="s">
        <v>4</v>
      </c>
      <c r="C45" s="52" t="s">
        <v>5</v>
      </c>
      <c r="D45" s="52" t="s">
        <v>6</v>
      </c>
      <c r="E45" s="52" t="s">
        <v>7</v>
      </c>
      <c r="F45" s="52"/>
      <c r="G45" s="52" t="s">
        <v>9</v>
      </c>
      <c r="H45" s="52" t="s">
        <v>10</v>
      </c>
      <c r="I45" s="52" t="s">
        <v>11</v>
      </c>
      <c r="J45" s="52" t="s">
        <v>113</v>
      </c>
      <c r="K45" s="52" t="s">
        <v>120</v>
      </c>
      <c r="M45" s="12" t="s">
        <v>22</v>
      </c>
      <c r="N45" s="55"/>
      <c r="O45" s="15"/>
      <c r="P45" s="15"/>
      <c r="Q45" s="34">
        <v>44.1</v>
      </c>
      <c r="R45" s="15">
        <v>0</v>
      </c>
      <c r="S45" s="15">
        <v>43.15</v>
      </c>
      <c r="T45" s="15">
        <v>26.72</v>
      </c>
      <c r="U45" s="15">
        <v>29.22</v>
      </c>
      <c r="V45" s="15">
        <v>35.75</v>
      </c>
      <c r="W45" s="96">
        <v>32.1</v>
      </c>
    </row>
    <row r="46" spans="1:23" ht="15.6" x14ac:dyDescent="0.3">
      <c r="A46" s="5" t="s">
        <v>87</v>
      </c>
      <c r="B46" s="19" t="e">
        <f>SUM(#REF!)</f>
        <v>#REF!</v>
      </c>
      <c r="C46" s="19" t="e">
        <f>SUM(#REF!)</f>
        <v>#REF!</v>
      </c>
      <c r="D46" s="19" t="e">
        <f>SUM(#REF!)</f>
        <v>#REF!</v>
      </c>
      <c r="E46" s="19" t="e">
        <f>SUM(#REF!)</f>
        <v>#REF!</v>
      </c>
      <c r="F46" s="19"/>
      <c r="G46" s="19">
        <f>G39</f>
        <v>1017.81</v>
      </c>
      <c r="H46" s="19">
        <f t="shared" ref="H46:K46" si="26">H39</f>
        <v>2141.56</v>
      </c>
      <c r="I46" s="19">
        <f t="shared" si="26"/>
        <v>1854.42</v>
      </c>
      <c r="J46" s="19">
        <f t="shared" si="26"/>
        <v>2565.12</v>
      </c>
      <c r="K46" s="19">
        <f t="shared" si="26"/>
        <v>4067.62</v>
      </c>
      <c r="M46" s="12" t="s">
        <v>78</v>
      </c>
      <c r="N46" s="55"/>
      <c r="O46" s="15"/>
      <c r="P46" s="15"/>
      <c r="Q46" s="34">
        <v>0</v>
      </c>
      <c r="R46" s="15">
        <v>0</v>
      </c>
      <c r="S46" s="15">
        <v>0</v>
      </c>
      <c r="T46" s="15">
        <v>0</v>
      </c>
      <c r="U46" s="15">
        <v>0</v>
      </c>
      <c r="V46" s="15">
        <v>0</v>
      </c>
      <c r="W46" s="72">
        <v>0</v>
      </c>
    </row>
    <row r="47" spans="1:23" ht="15.6" x14ac:dyDescent="0.3">
      <c r="A47" s="12" t="s">
        <v>89</v>
      </c>
      <c r="B47" s="53"/>
      <c r="C47" s="56">
        <f>-(O18-N18)</f>
        <v>0</v>
      </c>
      <c r="D47" s="56">
        <f>-(P18-O18)</f>
        <v>0</v>
      </c>
      <c r="E47" s="56">
        <v>-576.79999999999995</v>
      </c>
      <c r="F47" s="56"/>
      <c r="G47" s="56">
        <f>-313-391</f>
        <v>-704</v>
      </c>
      <c r="H47" s="56">
        <v>-836</v>
      </c>
      <c r="I47" s="56">
        <v>-550.86</v>
      </c>
      <c r="J47" s="56">
        <v>-2839.67</v>
      </c>
      <c r="K47" s="18">
        <v>-1933.18</v>
      </c>
      <c r="M47" s="12" t="s">
        <v>79</v>
      </c>
      <c r="N47" s="36"/>
      <c r="O47" s="36"/>
      <c r="P47" s="36"/>
      <c r="Q47" s="34">
        <v>0</v>
      </c>
      <c r="R47" s="15">
        <v>0</v>
      </c>
      <c r="S47" s="15">
        <v>0</v>
      </c>
      <c r="T47" s="15">
        <v>0</v>
      </c>
      <c r="U47" s="15">
        <v>0</v>
      </c>
      <c r="V47" s="15">
        <v>0</v>
      </c>
      <c r="W47" s="72">
        <v>0</v>
      </c>
    </row>
    <row r="48" spans="1:23" ht="15.6" x14ac:dyDescent="0.3">
      <c r="A48" s="18" t="s">
        <v>91</v>
      </c>
      <c r="B48" s="31"/>
      <c r="C48" s="19" t="e">
        <f t="shared" ref="C48:G48" si="27">SUM(C46:C47)</f>
        <v>#REF!</v>
      </c>
      <c r="D48" s="19" t="e">
        <f t="shared" si="27"/>
        <v>#REF!</v>
      </c>
      <c r="E48" s="19" t="e">
        <f>SUM(E46:E47)</f>
        <v>#REF!</v>
      </c>
      <c r="F48" s="19"/>
      <c r="G48" s="19">
        <f t="shared" si="27"/>
        <v>313.80999999999995</v>
      </c>
      <c r="H48" s="19">
        <f t="shared" ref="H48:K48" si="28">SUM(H46:H47)</f>
        <v>1305.56</v>
      </c>
      <c r="I48" s="19">
        <f t="shared" si="28"/>
        <v>1303.56</v>
      </c>
      <c r="J48" s="19">
        <f t="shared" si="28"/>
        <v>-274.55000000000018</v>
      </c>
      <c r="K48" s="19">
        <f t="shared" si="28"/>
        <v>2134.4399999999996</v>
      </c>
      <c r="M48" s="18" t="s">
        <v>81</v>
      </c>
      <c r="N48" s="19">
        <f>(N29-N38-N8)</f>
        <v>0</v>
      </c>
      <c r="O48" s="19">
        <f>(O29-O38-O8)</f>
        <v>0</v>
      </c>
      <c r="P48" s="19">
        <f>(P29-P38-P8)</f>
        <v>0</v>
      </c>
      <c r="Q48" s="20">
        <f>(Q29-Q38-Q8)</f>
        <v>9739.1999999999989</v>
      </c>
      <c r="R48" s="19">
        <f>(R29-R38-R8)</f>
        <v>0</v>
      </c>
      <c r="S48" s="19">
        <f>(S29-S38)</f>
        <v>3461.0800000000008</v>
      </c>
      <c r="T48" s="19">
        <f>(T29-T38)</f>
        <v>4197.7199999999993</v>
      </c>
      <c r="U48" s="19">
        <f>(U29-U38)</f>
        <v>4666.29</v>
      </c>
      <c r="V48" s="19">
        <f>(V29-V38)</f>
        <v>5227.4399999999987</v>
      </c>
      <c r="W48" s="19">
        <f>(W29-W38)</f>
        <v>7139.7799999999988</v>
      </c>
    </row>
    <row r="49" spans="1:23" ht="15.6" x14ac:dyDescent="0.3">
      <c r="A49" s="1" t="s">
        <v>93</v>
      </c>
      <c r="K49" s="2"/>
      <c r="M49" s="12" t="s">
        <v>82</v>
      </c>
      <c r="N49" s="13"/>
      <c r="O49" s="13"/>
      <c r="P49" s="13"/>
      <c r="Q49" s="14">
        <v>0</v>
      </c>
      <c r="R49" s="15">
        <v>0</v>
      </c>
      <c r="S49" s="15">
        <v>0</v>
      </c>
      <c r="T49" s="15">
        <v>0</v>
      </c>
      <c r="U49" s="15">
        <v>0</v>
      </c>
      <c r="V49" s="15">
        <v>0</v>
      </c>
      <c r="W49" s="72">
        <v>0</v>
      </c>
    </row>
    <row r="50" spans="1:23" ht="15.6" x14ac:dyDescent="0.3">
      <c r="K50" s="2"/>
      <c r="M50" s="12" t="s">
        <v>83</v>
      </c>
      <c r="N50" s="13"/>
      <c r="O50" s="13"/>
      <c r="P50" s="13"/>
      <c r="Q50" s="14">
        <v>2.1</v>
      </c>
      <c r="R50" s="15">
        <v>0</v>
      </c>
      <c r="S50" s="15">
        <v>0</v>
      </c>
      <c r="T50" s="15">
        <v>0</v>
      </c>
      <c r="U50" s="15">
        <v>0</v>
      </c>
      <c r="V50" s="15">
        <v>0</v>
      </c>
      <c r="W50" s="72">
        <v>0</v>
      </c>
    </row>
    <row r="51" spans="1:23" x14ac:dyDescent="0.25">
      <c r="A51" s="12" t="s">
        <v>96</v>
      </c>
      <c r="B51" s="66"/>
      <c r="C51" s="66"/>
      <c r="D51" s="66"/>
      <c r="E51" s="67">
        <v>1239377194</v>
      </c>
      <c r="F51" s="67"/>
      <c r="G51" s="67">
        <v>148000000</v>
      </c>
      <c r="H51" s="67">
        <v>148000000</v>
      </c>
      <c r="I51" s="67">
        <v>148000000</v>
      </c>
      <c r="J51" s="67">
        <v>153152747</v>
      </c>
      <c r="K51" s="67">
        <v>154400078</v>
      </c>
      <c r="M51" s="12" t="s">
        <v>84</v>
      </c>
      <c r="N51" s="13"/>
      <c r="O51" s="13"/>
      <c r="P51" s="13"/>
      <c r="Q51" s="14">
        <v>126.8</v>
      </c>
      <c r="R51" s="15">
        <v>0</v>
      </c>
      <c r="S51" s="15">
        <v>0</v>
      </c>
      <c r="T51" s="15">
        <v>0</v>
      </c>
      <c r="U51" s="15">
        <v>0</v>
      </c>
      <c r="V51" s="15">
        <v>0</v>
      </c>
      <c r="W51" s="72">
        <v>0</v>
      </c>
    </row>
    <row r="52" spans="1:23" ht="15.6" x14ac:dyDescent="0.3">
      <c r="A52" s="12" t="s">
        <v>98</v>
      </c>
      <c r="B52" s="56">
        <f t="shared" ref="B52:K52" si="29">B51*N57/1000000</f>
        <v>0</v>
      </c>
      <c r="C52" s="56" t="e">
        <f t="shared" si="29"/>
        <v>#VALUE!</v>
      </c>
      <c r="D52" s="56" t="e">
        <f t="shared" si="29"/>
        <v>#VALUE!</v>
      </c>
      <c r="E52" s="56">
        <f t="shared" si="29"/>
        <v>18776.564489100001</v>
      </c>
      <c r="F52" s="56">
        <f t="shared" si="29"/>
        <v>0</v>
      </c>
      <c r="G52" s="56">
        <f t="shared" si="29"/>
        <v>0</v>
      </c>
      <c r="H52" s="56">
        <f t="shared" si="29"/>
        <v>0</v>
      </c>
      <c r="I52" s="56">
        <f t="shared" si="29"/>
        <v>0</v>
      </c>
      <c r="J52" s="56">
        <f t="shared" si="29"/>
        <v>40570.162680299996</v>
      </c>
      <c r="K52" s="56">
        <f t="shared" si="29"/>
        <v>42730.221586500003</v>
      </c>
      <c r="M52" s="12" t="s">
        <v>85</v>
      </c>
      <c r="N52" s="31"/>
      <c r="O52" s="31"/>
      <c r="P52" s="31"/>
      <c r="Q52" s="57"/>
      <c r="R52" s="15">
        <v>0</v>
      </c>
      <c r="S52" s="15">
        <v>0</v>
      </c>
      <c r="T52" s="15">
        <v>0</v>
      </c>
      <c r="U52" s="15">
        <v>0</v>
      </c>
      <c r="V52" s="15">
        <v>0</v>
      </c>
      <c r="W52" s="72">
        <v>0</v>
      </c>
    </row>
    <row r="53" spans="1:23" ht="15.6" x14ac:dyDescent="0.3">
      <c r="A53" s="12" t="s">
        <v>100</v>
      </c>
      <c r="B53" s="56">
        <f t="shared" ref="B53:F53" si="30">N10</f>
        <v>0</v>
      </c>
      <c r="C53" s="56">
        <f t="shared" si="30"/>
        <v>0</v>
      </c>
      <c r="D53" s="56">
        <f t="shared" si="30"/>
        <v>0</v>
      </c>
      <c r="E53" s="56">
        <f t="shared" si="30"/>
        <v>4931.8999999999996</v>
      </c>
      <c r="F53" s="56">
        <f t="shared" si="30"/>
        <v>0</v>
      </c>
      <c r="G53" s="56">
        <v>0</v>
      </c>
      <c r="H53" s="56">
        <v>0</v>
      </c>
      <c r="I53" s="56">
        <v>0</v>
      </c>
      <c r="J53" s="56">
        <v>0</v>
      </c>
      <c r="K53" s="56">
        <v>0</v>
      </c>
      <c r="M53" s="18" t="s">
        <v>86</v>
      </c>
      <c r="N53" s="27">
        <f t="shared" ref="N53:V53" si="31">SUM(N18:N28)+N29</f>
        <v>0</v>
      </c>
      <c r="O53" s="27">
        <f t="shared" si="31"/>
        <v>0</v>
      </c>
      <c r="P53" s="27">
        <f t="shared" si="31"/>
        <v>0</v>
      </c>
      <c r="Q53" s="28">
        <f t="shared" si="31"/>
        <v>19745.7</v>
      </c>
      <c r="R53" s="27">
        <f t="shared" si="31"/>
        <v>0</v>
      </c>
      <c r="S53" s="27">
        <f t="shared" si="31"/>
        <v>10927.04</v>
      </c>
      <c r="T53" s="27">
        <f t="shared" si="31"/>
        <v>13327.38</v>
      </c>
      <c r="U53" s="27">
        <f t="shared" si="31"/>
        <v>16118.099999999999</v>
      </c>
      <c r="V53" s="27">
        <f t="shared" si="31"/>
        <v>18556.96</v>
      </c>
      <c r="W53" s="27">
        <f t="shared" ref="W53" si="32">SUM(W18:W28)+W29</f>
        <v>21012.259999999995</v>
      </c>
    </row>
    <row r="54" spans="1:23" ht="15.6" x14ac:dyDescent="0.3">
      <c r="A54" s="12" t="s">
        <v>102</v>
      </c>
      <c r="B54" s="56">
        <f t="shared" ref="B54:I54" si="33">N33</f>
        <v>0</v>
      </c>
      <c r="C54" s="56">
        <f t="shared" si="33"/>
        <v>0</v>
      </c>
      <c r="D54" s="56">
        <f t="shared" si="33"/>
        <v>0</v>
      </c>
      <c r="E54" s="56">
        <f t="shared" si="33"/>
        <v>869.90000000000009</v>
      </c>
      <c r="F54" s="74">
        <f t="shared" si="33"/>
        <v>0</v>
      </c>
      <c r="G54" s="74">
        <f t="shared" si="33"/>
        <v>1220.3399999999999</v>
      </c>
      <c r="H54" s="74">
        <f t="shared" si="33"/>
        <v>1591.3</v>
      </c>
      <c r="I54" s="74">
        <f t="shared" si="33"/>
        <v>1335.14</v>
      </c>
      <c r="J54" s="56">
        <f>V33</f>
        <v>643.47</v>
      </c>
      <c r="K54" s="56">
        <f>W33</f>
        <v>963.14</v>
      </c>
      <c r="M54" s="18" t="s">
        <v>88</v>
      </c>
      <c r="N54" s="27">
        <f t="shared" ref="N54:V54" si="34">N51+N38+N10+N6+N49+N50+N52</f>
        <v>0</v>
      </c>
      <c r="O54" s="27">
        <f t="shared" si="34"/>
        <v>0</v>
      </c>
      <c r="P54" s="27">
        <f t="shared" si="34"/>
        <v>0</v>
      </c>
      <c r="Q54" s="28">
        <f t="shared" si="34"/>
        <v>19541.599999999999</v>
      </c>
      <c r="R54" s="27">
        <f t="shared" si="34"/>
        <v>0</v>
      </c>
      <c r="S54" s="27">
        <f t="shared" si="34"/>
        <v>10927.039999999999</v>
      </c>
      <c r="T54" s="27">
        <f t="shared" si="34"/>
        <v>13327.380000000001</v>
      </c>
      <c r="U54" s="27">
        <f t="shared" si="34"/>
        <v>16118.11</v>
      </c>
      <c r="V54" s="27">
        <f t="shared" si="34"/>
        <v>18556.96</v>
      </c>
      <c r="W54" s="27">
        <f t="shared" ref="W54" si="35">W51+W38+W10+W6+W49+W50+W52</f>
        <v>21012.26</v>
      </c>
    </row>
    <row r="55" spans="1:23" ht="15.6" x14ac:dyDescent="0.3">
      <c r="A55" s="12" t="s">
        <v>104</v>
      </c>
      <c r="B55" s="19">
        <f t="shared" ref="B55:E55" si="36">B52+B53-B54</f>
        <v>0</v>
      </c>
      <c r="C55" s="19" t="e">
        <f t="shared" si="36"/>
        <v>#VALUE!</v>
      </c>
      <c r="D55" s="19" t="e">
        <f t="shared" si="36"/>
        <v>#VALUE!</v>
      </c>
      <c r="E55" s="19">
        <f t="shared" si="36"/>
        <v>22838.564489099997</v>
      </c>
      <c r="F55" s="19"/>
      <c r="G55" s="19" t="s">
        <v>117</v>
      </c>
      <c r="H55" s="19" t="s">
        <v>117</v>
      </c>
      <c r="I55" s="19" t="s">
        <v>117</v>
      </c>
      <c r="J55" s="19">
        <f>J52+J53-J54</f>
        <v>39926.692680299995</v>
      </c>
      <c r="K55" s="19">
        <f>K52+K53-K54</f>
        <v>41767.081586500004</v>
      </c>
      <c r="M55" s="2" t="s">
        <v>90</v>
      </c>
      <c r="O55" s="58"/>
      <c r="P55" s="58"/>
      <c r="Q55" s="58"/>
      <c r="R55" s="59"/>
      <c r="S55" s="59"/>
      <c r="T55" s="59"/>
      <c r="U55" s="59"/>
      <c r="V55" s="59"/>
    </row>
    <row r="56" spans="1:23" ht="15.6" x14ac:dyDescent="0.3">
      <c r="B56" s="1"/>
      <c r="C56" s="1"/>
      <c r="D56" s="1"/>
      <c r="E56" s="1"/>
      <c r="K56" s="2"/>
      <c r="M56" s="5" t="s">
        <v>92</v>
      </c>
      <c r="N56" s="6" t="s">
        <v>4</v>
      </c>
      <c r="O56" s="6" t="s">
        <v>5</v>
      </c>
      <c r="P56" s="6" t="s">
        <v>6</v>
      </c>
      <c r="Q56" s="7" t="s">
        <v>7</v>
      </c>
      <c r="R56" s="52" t="s">
        <v>8</v>
      </c>
      <c r="S56" s="52" t="s">
        <v>9</v>
      </c>
      <c r="T56" s="52" t="s">
        <v>10</v>
      </c>
      <c r="U56" s="52" t="s">
        <v>11</v>
      </c>
      <c r="V56" s="52" t="s">
        <v>113</v>
      </c>
      <c r="W56" s="52" t="s">
        <v>120</v>
      </c>
    </row>
    <row r="57" spans="1:23" ht="15.6" x14ac:dyDescent="0.3">
      <c r="B57" s="1"/>
      <c r="C57" s="1"/>
      <c r="D57" s="1"/>
      <c r="E57" s="1"/>
      <c r="K57" s="2"/>
      <c r="M57" s="60" t="s">
        <v>94</v>
      </c>
      <c r="N57" s="61"/>
      <c r="O57" s="62" t="s">
        <v>55</v>
      </c>
      <c r="P57" s="62" t="s">
        <v>55</v>
      </c>
      <c r="Q57" s="63">
        <v>15.15</v>
      </c>
      <c r="R57" s="15">
        <v>0</v>
      </c>
      <c r="S57" s="15">
        <v>0</v>
      </c>
      <c r="T57" s="15">
        <v>0</v>
      </c>
      <c r="U57" s="15">
        <v>0</v>
      </c>
      <c r="V57" s="15">
        <v>264.89999999999998</v>
      </c>
      <c r="W57" s="15">
        <v>276.75</v>
      </c>
    </row>
    <row r="58" spans="1:23" ht="15.6" x14ac:dyDescent="0.3">
      <c r="B58" s="1"/>
      <c r="C58" s="1"/>
      <c r="D58" s="1"/>
      <c r="E58" s="1"/>
      <c r="K58" s="2"/>
      <c r="M58" s="43" t="s">
        <v>95</v>
      </c>
      <c r="N58" s="64">
        <f t="shared" ref="N58:W58" si="37">B31</f>
        <v>0</v>
      </c>
      <c r="O58" s="64">
        <f t="shared" si="37"/>
        <v>0</v>
      </c>
      <c r="P58" s="64">
        <f t="shared" si="37"/>
        <v>0</v>
      </c>
      <c r="Q58" s="65">
        <f t="shared" si="37"/>
        <v>1.21</v>
      </c>
      <c r="R58" s="64">
        <f t="shared" si="37"/>
        <v>0</v>
      </c>
      <c r="S58" s="64">
        <f t="shared" si="37"/>
        <v>6.33</v>
      </c>
      <c r="T58" s="64">
        <f t="shared" si="37"/>
        <v>8.8699999999999992</v>
      </c>
      <c r="U58" s="64">
        <f t="shared" si="37"/>
        <v>11.09</v>
      </c>
      <c r="V58" s="64">
        <f t="shared" si="37"/>
        <v>14.33</v>
      </c>
      <c r="W58" s="64">
        <f t="shared" si="37"/>
        <v>18.670000000000002</v>
      </c>
    </row>
    <row r="59" spans="1:23" ht="15.6" x14ac:dyDescent="0.3">
      <c r="K59" s="2"/>
      <c r="M59" s="68" t="s">
        <v>97</v>
      </c>
      <c r="N59" s="69" t="e">
        <f>(N6*1000000)/B51</f>
        <v>#DIV/0!</v>
      </c>
      <c r="O59" s="69" t="e">
        <f>(O6*1000000)/C51</f>
        <v>#DIV/0!</v>
      </c>
      <c r="P59" s="69" t="e">
        <f>(P6*1000000)/D51</f>
        <v>#DIV/0!</v>
      </c>
      <c r="Q59" s="70">
        <f>(Q6*1000000)/E51</f>
        <v>6.77856591251751</v>
      </c>
      <c r="R59" s="69">
        <v>0</v>
      </c>
      <c r="S59" s="69">
        <f>(S6*1000000)/G51</f>
        <v>50.398513513513514</v>
      </c>
      <c r="T59" s="69">
        <f>(T6*1000000)/H51</f>
        <v>57.458851351351349</v>
      </c>
      <c r="U59" s="69">
        <f>(U6*1000000)/I51</f>
        <v>66.51864864864865</v>
      </c>
      <c r="V59" s="69">
        <f>(V6*1000000)/J51</f>
        <v>82.018117507223053</v>
      </c>
      <c r="W59" s="69">
        <f>(W6*1000000)/K51</f>
        <v>101.19522089878737</v>
      </c>
    </row>
    <row r="60" spans="1:23" x14ac:dyDescent="0.25">
      <c r="M60" s="42" t="s">
        <v>99</v>
      </c>
      <c r="N60" s="62"/>
      <c r="O60" s="72"/>
      <c r="P60" s="72"/>
      <c r="Q60" s="73">
        <v>0</v>
      </c>
      <c r="R60" s="72">
        <v>0</v>
      </c>
      <c r="S60" s="72">
        <v>1.6</v>
      </c>
      <c r="T60" s="72">
        <v>1.8</v>
      </c>
      <c r="U60" s="72">
        <v>2.4500000000000002</v>
      </c>
      <c r="V60" s="72">
        <v>1</v>
      </c>
      <c r="W60" s="72">
        <v>4.75</v>
      </c>
    </row>
    <row r="61" spans="1:23" x14ac:dyDescent="0.25">
      <c r="M61" s="42" t="s">
        <v>101</v>
      </c>
      <c r="N61" s="69" t="e">
        <f t="shared" ref="N61:S61" si="38">(N57/N58)</f>
        <v>#DIV/0!</v>
      </c>
      <c r="O61" s="69" t="e">
        <f t="shared" si="38"/>
        <v>#VALUE!</v>
      </c>
      <c r="P61" s="69" t="e">
        <f t="shared" si="38"/>
        <v>#VALUE!</v>
      </c>
      <c r="Q61" s="71">
        <f t="shared" si="38"/>
        <v>12.520661157024794</v>
      </c>
      <c r="R61" s="75" t="s">
        <v>55</v>
      </c>
      <c r="S61" s="69">
        <f t="shared" si="38"/>
        <v>0</v>
      </c>
      <c r="T61" s="69">
        <f>(T57/T58)</f>
        <v>0</v>
      </c>
      <c r="U61" s="69">
        <f>(U57/U58)</f>
        <v>0</v>
      </c>
      <c r="V61" s="69">
        <f>(V57/V58)</f>
        <v>18.485694347522678</v>
      </c>
      <c r="W61" s="69">
        <f>(W57/W58)</f>
        <v>14.823245848955542</v>
      </c>
    </row>
    <row r="62" spans="1:23" x14ac:dyDescent="0.25">
      <c r="M62" s="42" t="s">
        <v>103</v>
      </c>
      <c r="N62" s="69" t="e">
        <f t="shared" ref="N62:S62" si="39">(N57/N59)</f>
        <v>#DIV/0!</v>
      </c>
      <c r="O62" s="69" t="e">
        <f t="shared" si="39"/>
        <v>#VALUE!</v>
      </c>
      <c r="P62" s="69" t="e">
        <f t="shared" si="39"/>
        <v>#VALUE!</v>
      </c>
      <c r="Q62" s="71">
        <f>(Q57/Q59)</f>
        <v>2.2349860126053418</v>
      </c>
      <c r="R62" s="75" t="s">
        <v>55</v>
      </c>
      <c r="S62" s="69">
        <f t="shared" si="39"/>
        <v>0</v>
      </c>
      <c r="T62" s="69">
        <f>(T57/T59)</f>
        <v>0</v>
      </c>
      <c r="U62" s="69">
        <f>(U57/U59)</f>
        <v>0</v>
      </c>
      <c r="V62" s="69">
        <f>(V57/V59)</f>
        <v>3.2297742017386724</v>
      </c>
      <c r="W62" s="69">
        <f>(W57/W59)</f>
        <v>2.7348129441487914</v>
      </c>
    </row>
    <row r="63" spans="1:23" x14ac:dyDescent="0.25">
      <c r="M63" s="42" t="s">
        <v>105</v>
      </c>
      <c r="N63" s="69" t="e">
        <f>B55/B15</f>
        <v>#DIV/0!</v>
      </c>
      <c r="O63" s="69" t="e">
        <f>C55/C15</f>
        <v>#VALUE!</v>
      </c>
      <c r="P63" s="69" t="e">
        <f>D55/D15</f>
        <v>#VALUE!</v>
      </c>
      <c r="Q63" s="71">
        <f>E55/E15</f>
        <v>6.5096809055694873</v>
      </c>
      <c r="R63" s="75" t="s">
        <v>55</v>
      </c>
      <c r="S63" s="75" t="s">
        <v>55</v>
      </c>
      <c r="T63" s="75" t="s">
        <v>55</v>
      </c>
      <c r="U63" s="75" t="s">
        <v>55</v>
      </c>
      <c r="V63" s="69">
        <f>J55/J15</f>
        <v>9.9874659002971757</v>
      </c>
      <c r="W63" s="69">
        <f>K55/K15</f>
        <v>7.7672672607358324</v>
      </c>
    </row>
    <row r="64" spans="1:23" x14ac:dyDescent="0.25">
      <c r="B64" s="1"/>
      <c r="C64" s="1"/>
      <c r="D64" s="1"/>
      <c r="E64" s="1"/>
      <c r="M64" s="76" t="s">
        <v>106</v>
      </c>
      <c r="N64" s="48" t="e">
        <f>(B24/N6)</f>
        <v>#REF!</v>
      </c>
      <c r="O64" s="48" t="e">
        <f>(C24/O6)</f>
        <v>#REF!</v>
      </c>
      <c r="P64" s="48" t="e">
        <f>(D24/P6)</f>
        <v>#REF!</v>
      </c>
      <c r="Q64" s="77" t="e">
        <f>E24/Q6</f>
        <v>#REF!</v>
      </c>
      <c r="R64" s="75" t="s">
        <v>55</v>
      </c>
      <c r="S64" s="75">
        <f>G24/AVERAGE(S6)</f>
        <v>0.12889295855465491</v>
      </c>
      <c r="T64" s="75">
        <f>H24/AVERAGE(S6,T6)</f>
        <v>0.16877770879834414</v>
      </c>
      <c r="U64" s="75">
        <f>I24/AVERAGE(T6,U6)</f>
        <v>0.18369069801789423</v>
      </c>
      <c r="V64" s="75">
        <f>J24/AVERAGE(U6,V6)</f>
        <v>0.19997982688611904</v>
      </c>
      <c r="W64" s="75">
        <f>K24/AVERAGE(V6,W6)</f>
        <v>0.21091150346716522</v>
      </c>
    </row>
    <row r="65" spans="2:23" x14ac:dyDescent="0.25">
      <c r="B65" s="1"/>
      <c r="C65" s="1"/>
      <c r="D65" s="1"/>
      <c r="E65" s="1"/>
      <c r="M65" s="76" t="s">
        <v>107</v>
      </c>
      <c r="N65" s="48" t="e">
        <f>(B21+B20)/N14</f>
        <v>#REF!</v>
      </c>
      <c r="O65" s="48" t="e">
        <f>(C21+C20)/O14</f>
        <v>#REF!</v>
      </c>
      <c r="P65" s="48" t="e">
        <f>(D15-D19)/P14</f>
        <v>#DIV/0!</v>
      </c>
      <c r="Q65" s="77">
        <f>(E15-E19)/Q14</f>
        <v>0.27409727557472974</v>
      </c>
      <c r="R65" s="75" t="s">
        <v>55</v>
      </c>
      <c r="S65" s="75">
        <f>(G15-G19)/S14</f>
        <v>0.17531247188907823</v>
      </c>
      <c r="T65" s="75">
        <f>(H15-H19)/T14</f>
        <v>0.2115231445897692</v>
      </c>
      <c r="U65" s="75">
        <f>(I15-I19)/U14</f>
        <v>0.20958824895388897</v>
      </c>
      <c r="V65" s="75">
        <f>(J15-J19)/V14</f>
        <v>0.21625161525928413</v>
      </c>
      <c r="W65" s="75">
        <f>(K15-K19)/W14</f>
        <v>0.23368896892544774</v>
      </c>
    </row>
    <row r="66" spans="2:23" x14ac:dyDescent="0.25">
      <c r="B66" s="1"/>
      <c r="C66" s="1"/>
      <c r="D66" s="1"/>
      <c r="E66" s="1"/>
      <c r="M66" s="42" t="s">
        <v>108</v>
      </c>
      <c r="N66" s="78" t="e">
        <f>(N10/N6)</f>
        <v>#DIV/0!</v>
      </c>
      <c r="O66" s="78" t="e">
        <f>(O10/O6)</f>
        <v>#DIV/0!</v>
      </c>
      <c r="P66" s="78" t="e">
        <f>(P10/P6)</f>
        <v>#DIV/0!</v>
      </c>
      <c r="Q66" s="79">
        <f>(Q10/Q6)</f>
        <v>0.58704708851116494</v>
      </c>
      <c r="R66" s="75" t="s">
        <v>55</v>
      </c>
      <c r="S66" s="75" t="s">
        <v>55</v>
      </c>
      <c r="T66" s="75" t="s">
        <v>55</v>
      </c>
      <c r="U66" s="75" t="s">
        <v>55</v>
      </c>
      <c r="V66" s="75" t="s">
        <v>55</v>
      </c>
      <c r="W66" s="75" t="s">
        <v>55</v>
      </c>
    </row>
    <row r="67" spans="2:23" x14ac:dyDescent="0.25">
      <c r="B67" s="1"/>
      <c r="C67" s="1"/>
      <c r="D67" s="1"/>
      <c r="E67" s="1"/>
      <c r="M67" s="42" t="s">
        <v>109</v>
      </c>
      <c r="N67" s="78" t="e">
        <f>(N10-N33)/N6</f>
        <v>#DIV/0!</v>
      </c>
      <c r="O67" s="78" t="e">
        <f>(O10-O33)/O6</f>
        <v>#DIV/0!</v>
      </c>
      <c r="P67" s="78" t="e">
        <f>(P10-P33)/P6</f>
        <v>#DIV/0!</v>
      </c>
      <c r="Q67" s="79">
        <f>(Q10-Q33)/Q6</f>
        <v>0.48350235680617043</v>
      </c>
      <c r="R67" s="75" t="s">
        <v>55</v>
      </c>
      <c r="S67" s="75" t="s">
        <v>55</v>
      </c>
      <c r="T67" s="75" t="s">
        <v>55</v>
      </c>
      <c r="U67" s="75" t="s">
        <v>55</v>
      </c>
      <c r="V67" s="75" t="s">
        <v>55</v>
      </c>
      <c r="W67" s="75" t="s">
        <v>55</v>
      </c>
    </row>
    <row r="68" spans="2:23" x14ac:dyDescent="0.25">
      <c r="B68" s="1"/>
      <c r="C68" s="1"/>
      <c r="D68" s="1"/>
      <c r="E68" s="1"/>
      <c r="M68" s="42" t="s">
        <v>110</v>
      </c>
      <c r="N68" s="80" t="e">
        <f t="shared" ref="N68:P68" si="40">(N60/N57)</f>
        <v>#DIV/0!</v>
      </c>
      <c r="O68" s="80" t="e">
        <f t="shared" si="40"/>
        <v>#VALUE!</v>
      </c>
      <c r="P68" s="80" t="e">
        <f t="shared" si="40"/>
        <v>#VALUE!</v>
      </c>
      <c r="Q68" s="81" t="s">
        <v>111</v>
      </c>
      <c r="R68" s="75" t="s">
        <v>55</v>
      </c>
      <c r="S68" s="75" t="s">
        <v>55</v>
      </c>
      <c r="T68" s="75" t="s">
        <v>55</v>
      </c>
      <c r="U68" s="75" t="s">
        <v>55</v>
      </c>
      <c r="V68" s="75">
        <f t="shared" ref="V68:W68" si="41">(V60/V57)</f>
        <v>3.7750094375235939E-3</v>
      </c>
      <c r="W68" s="75">
        <f t="shared" si="41"/>
        <v>1.7163504968383016E-2</v>
      </c>
    </row>
    <row r="69" spans="2:23" x14ac:dyDescent="0.25">
      <c r="M69" s="82" t="s">
        <v>112</v>
      </c>
      <c r="N69" s="83"/>
      <c r="O69" s="84"/>
      <c r="P69" s="84"/>
      <c r="Q69" s="84"/>
      <c r="R69" s="82"/>
      <c r="S69" s="82" t="s">
        <v>116</v>
      </c>
      <c r="T69" s="82"/>
      <c r="U69" s="82"/>
      <c r="V69" s="82"/>
      <c r="W69" s="82"/>
    </row>
    <row r="70" spans="2:23" x14ac:dyDescent="0.25">
      <c r="W70" s="87"/>
    </row>
    <row r="71" spans="2:23" x14ac:dyDescent="0.25">
      <c r="W71" s="87"/>
    </row>
    <row r="72" spans="2:23" x14ac:dyDescent="0.25">
      <c r="W72" s="87"/>
    </row>
    <row r="73" spans="2:23" x14ac:dyDescent="0.25">
      <c r="W73" s="87"/>
    </row>
    <row r="74" spans="2:23" x14ac:dyDescent="0.25">
      <c r="W74" s="88"/>
    </row>
    <row r="75" spans="2:23" x14ac:dyDescent="0.25">
      <c r="N75" s="1"/>
      <c r="W75" s="89"/>
    </row>
    <row r="76" spans="2:23" x14ac:dyDescent="0.25">
      <c r="N76" s="1"/>
    </row>
    <row r="77" spans="2:23" x14ac:dyDescent="0.25">
      <c r="N77" s="1"/>
    </row>
    <row r="78" spans="2:23" x14ac:dyDescent="0.25">
      <c r="N78" s="85"/>
    </row>
    <row r="79" spans="2:23" hidden="1" x14ac:dyDescent="0.25"/>
  </sheetData>
  <printOptions horizontalCentered="1"/>
  <pageMargins left="0" right="0" top="0" bottom="0" header="0" footer="0"/>
  <pageSetup paperSize="9" scale="54" fitToWidth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Consolidated</vt:lpstr>
      <vt:lpstr>Consolidated!Print_Area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Deep</cp:lastModifiedBy>
  <dcterms:created xsi:type="dcterms:W3CDTF">2022-04-21T08:47:11Z</dcterms:created>
  <dcterms:modified xsi:type="dcterms:W3CDTF">2023-06-18T12:41:46Z</dcterms:modified>
</cp:coreProperties>
</file>