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definedNames>
    <definedName name="_xlnm.Print_Area" localSheetId="0">Sheet1!$B$3:$N$64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9" i="1" l="1"/>
  <c r="L60" i="1"/>
  <c r="M60" i="1"/>
  <c r="N60" i="1"/>
  <c r="L61" i="1"/>
  <c r="L62" i="1"/>
  <c r="L64" i="1"/>
  <c r="L65" i="1"/>
  <c r="M65" i="1"/>
  <c r="N65" i="1"/>
  <c r="K65" i="1"/>
  <c r="K62" i="1"/>
  <c r="K61" i="1"/>
  <c r="K60" i="1"/>
  <c r="L63" i="1" l="1"/>
  <c r="G51" i="1"/>
  <c r="F34" i="1"/>
  <c r="N39" i="1"/>
  <c r="N31" i="1"/>
  <c r="K39" i="1"/>
  <c r="L39" i="1"/>
  <c r="M39" i="1"/>
  <c r="J39" i="1"/>
  <c r="K31" i="1"/>
  <c r="L31" i="1"/>
  <c r="M31" i="1"/>
  <c r="J31" i="1"/>
  <c r="N28" i="1"/>
  <c r="G53" i="1" s="1"/>
  <c r="N59" i="1"/>
  <c r="G33" i="1"/>
  <c r="G34" i="1"/>
  <c r="G8" i="1"/>
  <c r="G6" i="1"/>
  <c r="G7" i="1"/>
  <c r="G14" i="1" l="1"/>
  <c r="N67" i="1" s="1"/>
  <c r="N61" i="1"/>
  <c r="N62" i="1"/>
  <c r="N63" i="1" s="1"/>
  <c r="L11" i="1"/>
  <c r="L8" i="1"/>
  <c r="L24" i="1"/>
  <c r="L12" i="1" l="1"/>
  <c r="L44" i="1"/>
  <c r="N52" i="1"/>
  <c r="M28" i="1" l="1"/>
  <c r="F46" i="1"/>
  <c r="C41" i="1" l="1"/>
  <c r="C42" i="1" s="1"/>
  <c r="C45" i="1"/>
  <c r="C47" i="1" s="1"/>
  <c r="G41" i="1"/>
  <c r="G42" i="1" s="1"/>
  <c r="G45" i="1"/>
  <c r="G47" i="1" s="1"/>
  <c r="N8" i="1"/>
  <c r="N44" i="1" s="1"/>
  <c r="N11" i="1"/>
  <c r="G52" i="1" s="1"/>
  <c r="N15" i="1"/>
  <c r="N24" i="1"/>
  <c r="N12" i="1" l="1"/>
  <c r="N38" i="1"/>
  <c r="G54" i="1"/>
  <c r="N54" i="1" s="1"/>
  <c r="N57" i="1"/>
  <c r="N58" i="1"/>
  <c r="N66" i="1"/>
  <c r="N56" i="1"/>
  <c r="N50" i="1"/>
  <c r="N53" i="1" s="1"/>
  <c r="N43" i="1"/>
  <c r="N13" i="1" s="1"/>
  <c r="G17" i="1"/>
  <c r="G22" i="1"/>
  <c r="J65" i="1"/>
  <c r="J49" i="1"/>
  <c r="J52" i="1" s="1"/>
  <c r="C51" i="1"/>
  <c r="D53" i="1"/>
  <c r="E53" i="1"/>
  <c r="C53" i="1"/>
  <c r="M24" i="1"/>
  <c r="M8" i="1"/>
  <c r="L66" i="1"/>
  <c r="M11" i="1"/>
  <c r="F52" i="1" s="1"/>
  <c r="L15" i="1"/>
  <c r="M15" i="1"/>
  <c r="L38" i="1"/>
  <c r="K8" i="1"/>
  <c r="K11" i="1"/>
  <c r="D52" i="1" s="1"/>
  <c r="K15" i="1"/>
  <c r="K24" i="1"/>
  <c r="J24" i="1"/>
  <c r="J38" i="1" s="1"/>
  <c r="C8" i="1"/>
  <c r="M59" i="1"/>
  <c r="L59" i="1"/>
  <c r="K59" i="1"/>
  <c r="J59" i="1"/>
  <c r="F51" i="1"/>
  <c r="E51" i="1"/>
  <c r="D51" i="1"/>
  <c r="M49" i="1"/>
  <c r="M52" i="1" s="1"/>
  <c r="L49" i="1"/>
  <c r="L52" i="1" s="1"/>
  <c r="K49" i="1"/>
  <c r="K52" i="1" s="1"/>
  <c r="F45" i="1"/>
  <c r="F47" i="1" s="1"/>
  <c r="E45" i="1"/>
  <c r="E47" i="1" s="1"/>
  <c r="D45" i="1"/>
  <c r="D47" i="1" s="1"/>
  <c r="F41" i="1"/>
  <c r="F42" i="1" s="1"/>
  <c r="E41" i="1"/>
  <c r="E42" i="1" s="1"/>
  <c r="D41" i="1"/>
  <c r="D42" i="1" s="1"/>
  <c r="F33" i="1"/>
  <c r="E33" i="1"/>
  <c r="D33" i="1"/>
  <c r="J15" i="1"/>
  <c r="F8" i="1"/>
  <c r="E8" i="1"/>
  <c r="D8" i="1"/>
  <c r="F7" i="1"/>
  <c r="F6" i="1"/>
  <c r="E6" i="1"/>
  <c r="D6" i="1"/>
  <c r="M61" i="1" l="1"/>
  <c r="M62" i="1"/>
  <c r="M63" i="1" s="1"/>
  <c r="K12" i="1"/>
  <c r="K44" i="1"/>
  <c r="M44" i="1"/>
  <c r="M12" i="1"/>
  <c r="G25" i="1"/>
  <c r="N55" i="1" s="1"/>
  <c r="G24" i="1"/>
  <c r="N68" i="1" s="1"/>
  <c r="K38" i="1"/>
  <c r="M38" i="1"/>
  <c r="E52" i="1"/>
  <c r="E54" i="1" s="1"/>
  <c r="F53" i="1"/>
  <c r="F54" i="1" s="1"/>
  <c r="M50" i="1"/>
  <c r="M53" i="1" s="1"/>
  <c r="F14" i="1"/>
  <c r="G15" i="1" s="1"/>
  <c r="C14" i="1"/>
  <c r="J67" i="1" s="1"/>
  <c r="M43" i="1"/>
  <c r="M13" i="1" s="1"/>
  <c r="L43" i="1"/>
  <c r="L13" i="1" s="1"/>
  <c r="K43" i="1"/>
  <c r="K13" i="1" s="1"/>
  <c r="K50" i="1"/>
  <c r="K53" i="1" s="1"/>
  <c r="J11" i="1"/>
  <c r="J8" i="1"/>
  <c r="J43" i="1"/>
  <c r="J13" i="1" s="1"/>
  <c r="E14" i="1"/>
  <c r="E17" i="1" s="1"/>
  <c r="M58" i="1"/>
  <c r="K57" i="1"/>
  <c r="D14" i="1"/>
  <c r="L57" i="1"/>
  <c r="K58" i="1"/>
  <c r="M66" i="1"/>
  <c r="M57" i="1"/>
  <c r="L58" i="1"/>
  <c r="L50" i="1"/>
  <c r="L53" i="1" s="1"/>
  <c r="D54" i="1"/>
  <c r="K66" i="1"/>
  <c r="N64" i="1" l="1"/>
  <c r="M64" i="1"/>
  <c r="J12" i="1"/>
  <c r="J44" i="1"/>
  <c r="M67" i="1"/>
  <c r="K64" i="1"/>
  <c r="K67" i="1"/>
  <c r="G16" i="1"/>
  <c r="F16" i="1"/>
  <c r="C22" i="1"/>
  <c r="C24" i="1" s="1"/>
  <c r="M54" i="1"/>
  <c r="M56" i="1"/>
  <c r="F17" i="1"/>
  <c r="C17" i="1"/>
  <c r="F22" i="1"/>
  <c r="F24" i="1" s="1"/>
  <c r="M68" i="1" s="1"/>
  <c r="K63" i="1"/>
  <c r="G29" i="1"/>
  <c r="G26" i="1"/>
  <c r="J56" i="1"/>
  <c r="J50" i="1"/>
  <c r="J53" i="1" s="1"/>
  <c r="J66" i="1"/>
  <c r="C52" i="1"/>
  <c r="C54" i="1" s="1"/>
  <c r="J54" i="1" s="1"/>
  <c r="J58" i="1"/>
  <c r="J57" i="1"/>
  <c r="D17" i="1"/>
  <c r="K54" i="1"/>
  <c r="L54" i="1"/>
  <c r="E15" i="1"/>
  <c r="D22" i="1"/>
  <c r="D25" i="1" s="1"/>
  <c r="L56" i="1"/>
  <c r="K56" i="1"/>
  <c r="D15" i="1"/>
  <c r="L67" i="1"/>
  <c r="E22" i="1"/>
  <c r="E25" i="1" s="1"/>
  <c r="F15" i="1"/>
  <c r="F25" i="1" l="1"/>
  <c r="F26" i="1" s="1"/>
  <c r="C25" i="1"/>
  <c r="J55" i="1" s="1"/>
  <c r="J68" i="1"/>
  <c r="D24" i="1"/>
  <c r="K68" i="1" s="1"/>
  <c r="E24" i="1"/>
  <c r="L68" i="1" s="1"/>
  <c r="C29" i="1"/>
  <c r="E29" i="1"/>
  <c r="E26" i="1"/>
  <c r="L55" i="1"/>
  <c r="F29" i="1"/>
  <c r="G30" i="1" s="1"/>
  <c r="M55" i="1"/>
  <c r="K55" i="1"/>
  <c r="D26" i="1"/>
  <c r="D29" i="1"/>
  <c r="G31" i="1" s="1"/>
  <c r="C26" i="1" l="1"/>
  <c r="D30" i="1"/>
  <c r="E30" i="1"/>
  <c r="F31" i="1"/>
  <c r="F30" i="1"/>
</calcChain>
</file>

<file path=xl/sharedStrings.xml><?xml version="1.0" encoding="utf-8"?>
<sst xmlns="http://schemas.openxmlformats.org/spreadsheetml/2006/main" count="148" uniqueCount="109">
  <si>
    <t>Income Statement</t>
  </si>
  <si>
    <t>Balance Sheet</t>
  </si>
  <si>
    <t>Y/E, Mar (Rs. mn)</t>
  </si>
  <si>
    <t>FY19</t>
  </si>
  <si>
    <t>FY20</t>
  </si>
  <si>
    <t>FY21</t>
  </si>
  <si>
    <t>FY22</t>
  </si>
  <si>
    <t xml:space="preserve">Operational Income </t>
  </si>
  <si>
    <t>Growth (%)</t>
  </si>
  <si>
    <t>CAGR (%) - 3 Years</t>
  </si>
  <si>
    <t>Networth/Shareholders Fund/ Book Value</t>
  </si>
  <si>
    <t>Expenditure</t>
  </si>
  <si>
    <t>Long Term Debt</t>
  </si>
  <si>
    <t>Short Term Debt</t>
  </si>
  <si>
    <t>Other Expenses</t>
  </si>
  <si>
    <t>Loans</t>
  </si>
  <si>
    <t>EBITDA</t>
  </si>
  <si>
    <t>Capital Employed</t>
  </si>
  <si>
    <t>EBITDA margin (%)</t>
  </si>
  <si>
    <t>NON CURRENT ASSETS</t>
  </si>
  <si>
    <t>Other Income</t>
  </si>
  <si>
    <t>Property, plant and Equipment</t>
  </si>
  <si>
    <t>Capital WIP</t>
  </si>
  <si>
    <t>Finance cost</t>
  </si>
  <si>
    <t>PBT</t>
  </si>
  <si>
    <t>Financial Assets</t>
  </si>
  <si>
    <t>Tax</t>
  </si>
  <si>
    <t>a) Investments</t>
  </si>
  <si>
    <t>Effective tax rate (%)</t>
  </si>
  <si>
    <t xml:space="preserve">b) Loans </t>
  </si>
  <si>
    <t>PAT</t>
  </si>
  <si>
    <t>PAT margin (%)</t>
  </si>
  <si>
    <t>CURRENT ASSETS, LOANS &amp; ADVANCES</t>
  </si>
  <si>
    <t>Minority Interest</t>
  </si>
  <si>
    <t>Other Comprehensive Income</t>
  </si>
  <si>
    <t>PAT After MI</t>
  </si>
  <si>
    <t>CAGR (%)</t>
  </si>
  <si>
    <t>EPS</t>
  </si>
  <si>
    <t xml:space="preserve">Other Current Assets </t>
  </si>
  <si>
    <t>CURRENT LIABILITIES &amp; PROVISIONS</t>
  </si>
  <si>
    <t>Financial Liabilities</t>
  </si>
  <si>
    <t>a) Trade payables</t>
  </si>
  <si>
    <t>b) Oher financial liabilities</t>
  </si>
  <si>
    <t>Other Current Liabilities</t>
  </si>
  <si>
    <t>CASH FLOW (INR Mn)</t>
  </si>
  <si>
    <t>Cash and Cash Equivalents at beginning of the year</t>
  </si>
  <si>
    <t>Cash Flow From Operating Activities</t>
  </si>
  <si>
    <t>Cash Flow from Investing Activities</t>
  </si>
  <si>
    <t>Deferred Tax Liability (Net)</t>
  </si>
  <si>
    <t>Cash Flow From Financing Activities</t>
  </si>
  <si>
    <t>TOTAL ASSETS</t>
  </si>
  <si>
    <t>Net Inc./(Dec.) in Cash and Cash Equivalents</t>
  </si>
  <si>
    <t>TOTAL LIABILITIES</t>
  </si>
  <si>
    <t>Cash and Cash Equivalents at end of the year</t>
  </si>
  <si>
    <t>KEY RATIOS</t>
  </si>
  <si>
    <t>Our Calculations</t>
  </si>
  <si>
    <t xml:space="preserve">Operating Cash Inflow </t>
  </si>
  <si>
    <t>CMP(INR)</t>
  </si>
  <si>
    <t>Capital Expenditure</t>
  </si>
  <si>
    <t>EPS (INR)</t>
  </si>
  <si>
    <t>FCF</t>
  </si>
  <si>
    <t>BVPS (INR)</t>
  </si>
  <si>
    <t>DPS (INR)</t>
  </si>
  <si>
    <t>P/E (x)</t>
  </si>
  <si>
    <t>No of Shares</t>
  </si>
  <si>
    <t>P/BV (x)</t>
  </si>
  <si>
    <t>Market Cap</t>
  </si>
  <si>
    <t>EV/EBIDTA (x)</t>
  </si>
  <si>
    <t>Total Debt</t>
  </si>
  <si>
    <t>ROE (%)</t>
  </si>
  <si>
    <t>Cash</t>
  </si>
  <si>
    <t>ROCE (%)</t>
  </si>
  <si>
    <t>EV</t>
  </si>
  <si>
    <t>Gross D/E (x)</t>
  </si>
  <si>
    <t>Net D/E (x)</t>
  </si>
  <si>
    <t>Dividend Yield (%)</t>
  </si>
  <si>
    <t>Debtor Days</t>
  </si>
  <si>
    <t>Creditor Days</t>
  </si>
  <si>
    <t>Inventory Days</t>
  </si>
  <si>
    <t>Cash Conversion cycle</t>
  </si>
  <si>
    <t>Fixed Asset Turnover</t>
  </si>
  <si>
    <t>Interest Cost</t>
  </si>
  <si>
    <t xml:space="preserve">Interest Coverage </t>
  </si>
  <si>
    <t>Cost of debt</t>
  </si>
  <si>
    <t>Cost of material consumed</t>
  </si>
  <si>
    <t>Purchases of stock in trade</t>
  </si>
  <si>
    <t>Changes in inventories</t>
  </si>
  <si>
    <t>Employee benefit expense</t>
  </si>
  <si>
    <t>Depreciation and amotization expense</t>
  </si>
  <si>
    <t>Exception item</t>
  </si>
  <si>
    <t>Equity Share Capital</t>
  </si>
  <si>
    <t>Other Equity</t>
  </si>
  <si>
    <t>Goodwill on Consolidation</t>
  </si>
  <si>
    <t xml:space="preserve">Other Intangible assets </t>
  </si>
  <si>
    <t>Other Non-current assets</t>
  </si>
  <si>
    <t>Inventories</t>
  </si>
  <si>
    <t>a) Trade Receivabes</t>
  </si>
  <si>
    <t>b) Cash &amp; Cash Equivalants</t>
  </si>
  <si>
    <t>c)  Loans</t>
  </si>
  <si>
    <t>Current Tax Liabilities</t>
  </si>
  <si>
    <t>NON CURRENT LIABILITIES</t>
  </si>
  <si>
    <t>Other Non-current liabilities</t>
  </si>
  <si>
    <t>Non-Controlling Interest</t>
  </si>
  <si>
    <t>Working Capital Days</t>
  </si>
  <si>
    <t>NET CURRENT ASSETS</t>
  </si>
  <si>
    <t>BigBloc Construction Ltd.</t>
  </si>
  <si>
    <t>FY23</t>
  </si>
  <si>
    <t>NA</t>
  </si>
  <si>
    <t>Provisions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</si>
</sst>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* #,##0.0_ ;_ * \-#,##0.0_ ;_ * &quot;-&quot;??_ ;_ @_ "/>
    <numFmt numFmtId="165" formatCode="0.0%"/>
    <numFmt numFmtId="166" formatCode="_ * #,##0_ ;_ * \-#,##0_ ;_ * &quot;-&quot;??_ ;_ @_ "/>
    <numFmt numFmtId="167" formatCode="_ * #,##0.000_ ;_ * \-#,##0.0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0">
    <xf numFmtId="0" fontId="0" fillId="0" borderId="0" xfId="0"/>
    <xf numFmtId="43" fontId="0" fillId="0" borderId="0" xfId="0" applyNumberFormat="1"/>
    <xf numFmtId="0" fontId="2" fillId="0" borderId="0" xfId="0" applyFont="1"/>
    <xf numFmtId="0" fontId="0" fillId="0" borderId="0" xfId="0" quotePrefix="1"/>
    <xf numFmtId="167" fontId="0" fillId="0" borderId="0" xfId="0" applyNumberFormat="1"/>
    <xf numFmtId="2" fontId="4" fillId="0" borderId="0" xfId="0" applyNumberFormat="1" applyFont="1"/>
    <xf numFmtId="10" fontId="0" fillId="0" borderId="0" xfId="2" applyNumberFormat="1" applyFont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6" fillId="4" borderId="0" xfId="0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2" borderId="1" xfId="0" applyFont="1" applyFill="1" applyBorder="1"/>
    <xf numFmtId="0" fontId="5" fillId="0" borderId="8" xfId="0" applyFont="1" applyBorder="1"/>
    <xf numFmtId="2" fontId="5" fillId="0" borderId="8" xfId="0" applyNumberFormat="1" applyFont="1" applyBorder="1"/>
    <xf numFmtId="43" fontId="7" fillId="0" borderId="5" xfId="3" applyFont="1" applyFill="1" applyBorder="1"/>
    <xf numFmtId="0" fontId="8" fillId="0" borderId="8" xfId="0" applyFont="1" applyBorder="1"/>
    <xf numFmtId="43" fontId="8" fillId="0" borderId="5" xfId="3" applyFont="1" applyBorder="1"/>
    <xf numFmtId="0" fontId="9" fillId="2" borderId="9" xfId="0" applyFont="1" applyFill="1" applyBorder="1"/>
    <xf numFmtId="10" fontId="9" fillId="2" borderId="9" xfId="2" applyNumberFormat="1" applyFont="1" applyFill="1" applyBorder="1"/>
    <xf numFmtId="10" fontId="9" fillId="2" borderId="6" xfId="2" applyNumberFormat="1" applyFont="1" applyFill="1" applyBorder="1"/>
    <xf numFmtId="0" fontId="8" fillId="0" borderId="9" xfId="0" applyFont="1" applyBorder="1"/>
    <xf numFmtId="43" fontId="6" fillId="0" borderId="6" xfId="3" applyFont="1" applyBorder="1"/>
    <xf numFmtId="165" fontId="9" fillId="2" borderId="6" xfId="0" applyNumberFormat="1" applyFont="1" applyFill="1" applyBorder="1"/>
    <xf numFmtId="0" fontId="8" fillId="0" borderId="19" xfId="0" applyFont="1" applyBorder="1"/>
    <xf numFmtId="164" fontId="6" fillId="0" borderId="20" xfId="3" applyNumberFormat="1" applyFont="1" applyBorder="1"/>
    <xf numFmtId="0" fontId="5" fillId="2" borderId="9" xfId="0" applyFont="1" applyFill="1" applyBorder="1"/>
    <xf numFmtId="43" fontId="5" fillId="2" borderId="9" xfId="3" applyFont="1" applyFill="1" applyBorder="1"/>
    <xf numFmtId="43" fontId="5" fillId="2" borderId="6" xfId="3" applyFont="1" applyFill="1" applyBorder="1"/>
    <xf numFmtId="43" fontId="7" fillId="2" borderId="4" xfId="1" applyFont="1" applyFill="1" applyBorder="1"/>
    <xf numFmtId="0" fontId="6" fillId="0" borderId="9" xfId="0" applyFont="1" applyBorder="1"/>
    <xf numFmtId="2" fontId="6" fillId="0" borderId="9" xfId="0" applyNumberFormat="1" applyFont="1" applyBorder="1"/>
    <xf numFmtId="2" fontId="8" fillId="0" borderId="6" xfId="0" applyNumberFormat="1" applyFont="1" applyBorder="1"/>
    <xf numFmtId="43" fontId="6" fillId="0" borderId="5" xfId="3" applyFont="1" applyBorder="1"/>
    <xf numFmtId="0" fontId="8" fillId="0" borderId="10" xfId="0" applyFont="1" applyBorder="1"/>
    <xf numFmtId="43" fontId="6" fillId="0" borderId="7" xfId="3" applyFont="1" applyBorder="1"/>
    <xf numFmtId="0" fontId="7" fillId="2" borderId="11" xfId="0" applyFont="1" applyFill="1" applyBorder="1"/>
    <xf numFmtId="43" fontId="7" fillId="2" borderId="14" xfId="1" applyFont="1" applyFill="1" applyBorder="1"/>
    <xf numFmtId="0" fontId="7" fillId="2" borderId="18" xfId="0" applyFont="1" applyFill="1" applyBorder="1"/>
    <xf numFmtId="43" fontId="7" fillId="2" borderId="17" xfId="1" applyFont="1" applyFill="1" applyBorder="1"/>
    <xf numFmtId="43" fontId="7" fillId="2" borderId="1" xfId="1" applyFont="1" applyFill="1" applyBorder="1"/>
    <xf numFmtId="167" fontId="5" fillId="2" borderId="9" xfId="3" applyNumberFormat="1" applyFont="1" applyFill="1" applyBorder="1"/>
    <xf numFmtId="0" fontId="8" fillId="0" borderId="2" xfId="0" applyFont="1" applyBorder="1"/>
    <xf numFmtId="164" fontId="8" fillId="0" borderId="3" xfId="1" applyNumberFormat="1" applyFont="1" applyFill="1" applyBorder="1"/>
    <xf numFmtId="0" fontId="6" fillId="0" borderId="0" xfId="0" applyFont="1"/>
    <xf numFmtId="10" fontId="7" fillId="2" borderId="9" xfId="0" applyNumberFormat="1" applyFont="1" applyFill="1" applyBorder="1"/>
    <xf numFmtId="10" fontId="7" fillId="2" borderId="6" xfId="0" applyNumberFormat="1" applyFont="1" applyFill="1" applyBorder="1"/>
    <xf numFmtId="2" fontId="8" fillId="0" borderId="6" xfId="3" applyNumberFormat="1" applyFont="1" applyFill="1" applyBorder="1"/>
    <xf numFmtId="164" fontId="8" fillId="0" borderId="6" xfId="3" applyNumberFormat="1" applyFont="1" applyFill="1" applyBorder="1"/>
    <xf numFmtId="43" fontId="8" fillId="0" borderId="6" xfId="3" applyFont="1" applyBorder="1"/>
    <xf numFmtId="10" fontId="9" fillId="2" borderId="9" xfId="0" applyNumberFormat="1" applyFont="1" applyFill="1" applyBorder="1"/>
    <xf numFmtId="10" fontId="9" fillId="2" borderId="6" xfId="0" applyNumberFormat="1" applyFont="1" applyFill="1" applyBorder="1"/>
    <xf numFmtId="10" fontId="5" fillId="2" borderId="9" xfId="2" applyNumberFormat="1" applyFont="1" applyFill="1" applyBorder="1"/>
    <xf numFmtId="10" fontId="5" fillId="2" borderId="6" xfId="2" applyNumberFormat="1" applyFont="1" applyFill="1" applyBorder="1"/>
    <xf numFmtId="43" fontId="6" fillId="0" borderId="6" xfId="1" applyFont="1" applyBorder="1"/>
    <xf numFmtId="43" fontId="6" fillId="3" borderId="6" xfId="1" applyFont="1" applyFill="1" applyBorder="1"/>
    <xf numFmtId="0" fontId="5" fillId="0" borderId="9" xfId="0" applyFont="1" applyBorder="1"/>
    <xf numFmtId="43" fontId="7" fillId="0" borderId="9" xfId="3" applyFont="1" applyFill="1" applyBorder="1"/>
    <xf numFmtId="43" fontId="7" fillId="0" borderId="6" xfId="3" applyFont="1" applyFill="1" applyBorder="1"/>
    <xf numFmtId="164" fontId="8" fillId="0" borderId="15" xfId="1" applyNumberFormat="1" applyFont="1" applyBorder="1"/>
    <xf numFmtId="164" fontId="8" fillId="0" borderId="16" xfId="1" applyNumberFormat="1" applyFont="1" applyBorder="1"/>
    <xf numFmtId="43" fontId="6" fillId="0" borderId="9" xfId="3" applyFont="1" applyBorder="1"/>
    <xf numFmtId="0" fontId="9" fillId="2" borderId="10" xfId="0" applyFont="1" applyFill="1" applyBorder="1"/>
    <xf numFmtId="165" fontId="9" fillId="2" borderId="7" xfId="0" applyNumberFormat="1" applyFont="1" applyFill="1" applyBorder="1"/>
    <xf numFmtId="43" fontId="6" fillId="0" borderId="18" xfId="3" applyFont="1" applyFill="1" applyBorder="1"/>
    <xf numFmtId="43" fontId="6" fillId="0" borderId="17" xfId="3" applyFont="1" applyFill="1" applyBorder="1"/>
    <xf numFmtId="0" fontId="5" fillId="2" borderId="4" xfId="0" applyFont="1" applyFill="1" applyBorder="1" applyAlignment="1">
      <alignment horizontal="right"/>
    </xf>
    <xf numFmtId="43" fontId="6" fillId="0" borderId="19" xfId="3" applyFont="1" applyBorder="1"/>
    <xf numFmtId="43" fontId="6" fillId="0" borderId="20" xfId="3" applyFont="1" applyBorder="1"/>
    <xf numFmtId="0" fontId="6" fillId="3" borderId="8" xfId="0" applyFont="1" applyFill="1" applyBorder="1"/>
    <xf numFmtId="2" fontId="6" fillId="3" borderId="5" xfId="0" applyNumberFormat="1" applyFont="1" applyFill="1" applyBorder="1"/>
    <xf numFmtId="0" fontId="6" fillId="3" borderId="9" xfId="0" applyFont="1" applyFill="1" applyBorder="1"/>
    <xf numFmtId="43" fontId="6" fillId="3" borderId="6" xfId="0" applyNumberFormat="1" applyFont="1" applyFill="1" applyBorder="1"/>
    <xf numFmtId="0" fontId="6" fillId="3" borderId="10" xfId="0" applyFont="1" applyFill="1" applyBorder="1"/>
    <xf numFmtId="43" fontId="6" fillId="3" borderId="7" xfId="0" applyNumberFormat="1" applyFont="1" applyFill="1" applyBorder="1"/>
    <xf numFmtId="43" fontId="6" fillId="0" borderId="17" xfId="3" applyFont="1" applyBorder="1"/>
    <xf numFmtId="0" fontId="5" fillId="2" borderId="11" xfId="0" applyFont="1" applyFill="1" applyBorder="1"/>
    <xf numFmtId="43" fontId="5" fillId="2" borderId="12" xfId="0" applyNumberFormat="1" applyFont="1" applyFill="1" applyBorder="1"/>
    <xf numFmtId="43" fontId="5" fillId="2" borderId="13" xfId="0" applyNumberFormat="1" applyFont="1" applyFill="1" applyBorder="1"/>
    <xf numFmtId="43" fontId="5" fillId="2" borderId="14" xfId="0" applyNumberFormat="1" applyFont="1" applyFill="1" applyBorder="1"/>
    <xf numFmtId="0" fontId="8" fillId="0" borderId="11" xfId="0" applyFont="1" applyBorder="1"/>
    <xf numFmtId="0" fontId="7" fillId="3" borderId="8" xfId="0" applyFont="1" applyFill="1" applyBorder="1"/>
    <xf numFmtId="43" fontId="7" fillId="3" borderId="5" xfId="1" applyFont="1" applyFill="1" applyBorder="1"/>
    <xf numFmtId="0" fontId="8" fillId="3" borderId="10" xfId="0" applyFont="1" applyFill="1" applyBorder="1"/>
    <xf numFmtId="43" fontId="8" fillId="3" borderId="7" xfId="1" applyFont="1" applyFill="1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1" xfId="0" applyFont="1" applyFill="1" applyBorder="1"/>
    <xf numFmtId="0" fontId="8" fillId="0" borderId="15" xfId="0" applyFont="1" applyBorder="1"/>
    <xf numFmtId="2" fontId="8" fillId="0" borderId="16" xfId="0" applyNumberFormat="1" applyFont="1" applyBorder="1"/>
    <xf numFmtId="2" fontId="8" fillId="3" borderId="16" xfId="0" applyNumberFormat="1" applyFont="1" applyFill="1" applyBorder="1"/>
    <xf numFmtId="0" fontId="6" fillId="0" borderId="8" xfId="0" applyFont="1" applyBorder="1"/>
    <xf numFmtId="166" fontId="6" fillId="0" borderId="5" xfId="1" applyNumberFormat="1" applyFont="1" applyBorder="1"/>
    <xf numFmtId="0" fontId="8" fillId="2" borderId="9" xfId="0" applyFont="1" applyFill="1" applyBorder="1"/>
    <xf numFmtId="43" fontId="8" fillId="2" borderId="6" xfId="0" applyNumberFormat="1" applyFont="1" applyFill="1" applyBorder="1"/>
    <xf numFmtId="0" fontId="8" fillId="2" borderId="18" xfId="0" applyFont="1" applyFill="1" applyBorder="1"/>
    <xf numFmtId="2" fontId="6" fillId="2" borderId="6" xfId="0" applyNumberFormat="1" applyFont="1" applyFill="1" applyBorder="1"/>
    <xf numFmtId="164" fontId="6" fillId="0" borderId="6" xfId="1" applyNumberFormat="1" applyFont="1" applyBorder="1"/>
    <xf numFmtId="0" fontId="6" fillId="0" borderId="10" xfId="0" applyFont="1" applyBorder="1"/>
    <xf numFmtId="2" fontId="6" fillId="0" borderId="7" xfId="0" applyNumberFormat="1" applyFont="1" applyBorder="1"/>
    <xf numFmtId="43" fontId="6" fillId="2" borderId="6" xfId="0" applyNumberFormat="1" applyFont="1" applyFill="1" applyBorder="1"/>
    <xf numFmtId="164" fontId="5" fillId="2" borderId="14" xfId="1" applyNumberFormat="1" applyFont="1" applyFill="1" applyBorder="1"/>
    <xf numFmtId="10" fontId="8" fillId="2" borderId="6" xfId="2" applyNumberFormat="1" applyFont="1" applyFill="1" applyBorder="1"/>
    <xf numFmtId="43" fontId="6" fillId="0" borderId="0" xfId="0" applyNumberFormat="1" applyFont="1"/>
    <xf numFmtId="2" fontId="8" fillId="2" borderId="6" xfId="0" applyNumberFormat="1" applyFont="1" applyFill="1" applyBorder="1"/>
    <xf numFmtId="10" fontId="6" fillId="2" borderId="6" xfId="2" applyNumberFormat="1" applyFont="1" applyFill="1" applyBorder="1"/>
    <xf numFmtId="1" fontId="9" fillId="2" borderId="6" xfId="0" applyNumberFormat="1" applyFont="1" applyFill="1" applyBorder="1" applyAlignment="1">
      <alignment horizontal="right"/>
    </xf>
    <xf numFmtId="1" fontId="6" fillId="2" borderId="6" xfId="0" applyNumberFormat="1" applyFont="1" applyFill="1" applyBorder="1"/>
    <xf numFmtId="0" fontId="6" fillId="2" borderId="9" xfId="0" applyFont="1" applyFill="1" applyBorder="1"/>
    <xf numFmtId="0" fontId="6" fillId="2" borderId="18" xfId="0" applyFont="1" applyFill="1" applyBorder="1"/>
    <xf numFmtId="2" fontId="8" fillId="2" borderId="6" xfId="2" applyNumberFormat="1" applyFont="1" applyFill="1" applyBorder="1"/>
    <xf numFmtId="10" fontId="8" fillId="2" borderId="6" xfId="2" applyNumberFormat="1" applyFont="1" applyFill="1" applyBorder="1" applyAlignment="1">
      <alignment horizontal="right"/>
    </xf>
    <xf numFmtId="0" fontId="6" fillId="2" borderId="10" xfId="0" applyFont="1" applyFill="1" applyBorder="1"/>
    <xf numFmtId="10" fontId="6" fillId="2" borderId="7" xfId="2" applyNumberFormat="1" applyFont="1" applyFill="1" applyBorder="1"/>
  </cellXfs>
  <cellStyles count="4">
    <cellStyle name="Comma" xfId="1" builtinId="3"/>
    <cellStyle name="Comma 3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igBloc\BigBloc%20Peer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er Sheet"/>
    </sheetNames>
    <sheetDataSet>
      <sheetData sheetId="0">
        <row r="28">
          <cell r="B28">
            <v>238.05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68"/>
  <sheetViews>
    <sheetView showGridLines="0" tabSelected="1" topLeftCell="C1" zoomScale="90" zoomScaleNormal="90" workbookViewId="0">
      <selection activeCell="P28" sqref="P28"/>
    </sheetView>
  </sheetViews>
  <sheetFormatPr defaultRowHeight="15" x14ac:dyDescent="0.25"/>
  <cols>
    <col min="2" max="2" width="42.7109375" bestFit="1" customWidth="1"/>
    <col min="3" max="5" width="13.140625" bestFit="1" customWidth="1"/>
    <col min="6" max="6" width="13.5703125" customWidth="1"/>
    <col min="7" max="7" width="13.140625" bestFit="1" customWidth="1"/>
    <col min="8" max="8" width="3.140625" customWidth="1"/>
    <col min="9" max="9" width="43.7109375" customWidth="1"/>
    <col min="10" max="14" width="10.140625" bestFit="1" customWidth="1"/>
  </cols>
  <sheetData>
    <row r="1" spans="2:16" ht="15.75" thickBot="1" x14ac:dyDescent="0.3"/>
    <row r="2" spans="2:16" ht="16.5" thickBot="1" x14ac:dyDescent="0.3">
      <c r="B2" s="7" t="s">
        <v>105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2:16" ht="16.5" thickBot="1" x14ac:dyDescent="0.3">
      <c r="B3" s="10" t="s">
        <v>0</v>
      </c>
      <c r="C3" s="11"/>
      <c r="D3" s="11"/>
      <c r="E3" s="11"/>
      <c r="F3" s="11"/>
      <c r="G3" s="12"/>
      <c r="H3" s="13"/>
      <c r="I3" s="10" t="s">
        <v>1</v>
      </c>
      <c r="J3" s="11"/>
      <c r="K3" s="11"/>
      <c r="L3" s="11"/>
      <c r="M3" s="11"/>
      <c r="N3" s="12"/>
    </row>
    <row r="4" spans="2:16" ht="16.5" thickBot="1" x14ac:dyDescent="0.3">
      <c r="B4" s="14" t="s">
        <v>2</v>
      </c>
      <c r="C4" s="15" t="s">
        <v>3</v>
      </c>
      <c r="D4" s="16" t="s">
        <v>4</v>
      </c>
      <c r="E4" s="16" t="s">
        <v>5</v>
      </c>
      <c r="F4" s="16" t="s">
        <v>6</v>
      </c>
      <c r="G4" s="16" t="s">
        <v>106</v>
      </c>
      <c r="H4" s="13"/>
      <c r="I4" s="17" t="s">
        <v>2</v>
      </c>
      <c r="J4" s="16" t="s">
        <v>3</v>
      </c>
      <c r="K4" s="16" t="s">
        <v>4</v>
      </c>
      <c r="L4" s="16" t="s">
        <v>5</v>
      </c>
      <c r="M4" s="16" t="s">
        <v>6</v>
      </c>
      <c r="N4" s="16" t="s">
        <v>106</v>
      </c>
    </row>
    <row r="5" spans="2:16" ht="15.75" x14ac:dyDescent="0.25">
      <c r="B5" s="18" t="s">
        <v>7</v>
      </c>
      <c r="C5" s="19">
        <v>1000.7910000000001</v>
      </c>
      <c r="D5" s="20">
        <v>1187.922</v>
      </c>
      <c r="E5" s="20">
        <v>1029.636</v>
      </c>
      <c r="F5" s="20">
        <v>1752.2339999999999</v>
      </c>
      <c r="G5" s="20">
        <v>2001.0609999999999</v>
      </c>
      <c r="H5" s="13"/>
      <c r="I5" s="21" t="s">
        <v>90</v>
      </c>
      <c r="J5" s="22">
        <v>141.57575</v>
      </c>
      <c r="K5" s="22">
        <v>141.57599999999999</v>
      </c>
      <c r="L5" s="22">
        <v>141.57599999999999</v>
      </c>
      <c r="M5" s="22">
        <v>141.57599999999999</v>
      </c>
      <c r="N5" s="22">
        <v>141.57599999999999</v>
      </c>
    </row>
    <row r="6" spans="2:16" ht="15.75" x14ac:dyDescent="0.25">
      <c r="B6" s="23" t="s">
        <v>8</v>
      </c>
      <c r="C6" s="24"/>
      <c r="D6" s="25">
        <f>D5/C5-1</f>
        <v>0.1869830963707706</v>
      </c>
      <c r="E6" s="25">
        <f t="shared" ref="E6:G6" si="0">E5/D5-1</f>
        <v>-0.13324612222014587</v>
      </c>
      <c r="F6" s="25">
        <f t="shared" si="0"/>
        <v>0.70179947088097161</v>
      </c>
      <c r="G6" s="25">
        <f t="shared" si="0"/>
        <v>0.14200557688071336</v>
      </c>
      <c r="H6" s="13"/>
      <c r="I6" s="26" t="s">
        <v>91</v>
      </c>
      <c r="J6" s="27">
        <v>132.44701000000001</v>
      </c>
      <c r="K6" s="27">
        <v>157.03700000000001</v>
      </c>
      <c r="L6" s="27">
        <v>178.19</v>
      </c>
      <c r="M6" s="27">
        <v>328.67599999999999</v>
      </c>
      <c r="N6" s="27">
        <v>611.60299999999995</v>
      </c>
    </row>
    <row r="7" spans="2:16" ht="16.5" thickBot="1" x14ac:dyDescent="0.3">
      <c r="B7" s="23" t="s">
        <v>9</v>
      </c>
      <c r="C7" s="23"/>
      <c r="D7" s="28"/>
      <c r="E7" s="28"/>
      <c r="F7" s="25">
        <f>(F5/C5)^(1/3)-1</f>
        <v>0.20526599578412896</v>
      </c>
      <c r="G7" s="25">
        <f>(G5/D5)^(1/3)-1</f>
        <v>0.18984612561694103</v>
      </c>
      <c r="H7" s="13"/>
      <c r="I7" s="29" t="s">
        <v>102</v>
      </c>
      <c r="J7" s="30">
        <v>0</v>
      </c>
      <c r="K7" s="30">
        <v>0</v>
      </c>
      <c r="L7" s="30">
        <v>0</v>
      </c>
      <c r="M7" s="30">
        <v>0</v>
      </c>
      <c r="N7" s="30">
        <v>17.834</v>
      </c>
    </row>
    <row r="8" spans="2:16" ht="16.5" thickBot="1" x14ac:dyDescent="0.3">
      <c r="B8" s="31" t="s">
        <v>11</v>
      </c>
      <c r="C8" s="32">
        <f>SUM(C9:C13)</f>
        <v>931.827</v>
      </c>
      <c r="D8" s="33">
        <f>SUM(D9:D13)</f>
        <v>1084.5700000000002</v>
      </c>
      <c r="E8" s="33">
        <f>SUM(E9:E13)</f>
        <v>908.49700000000007</v>
      </c>
      <c r="F8" s="33">
        <f>SUM(F9:F13)</f>
        <v>1480.8400000000001</v>
      </c>
      <c r="G8" s="33">
        <f>SUM(G9:G13)</f>
        <v>1501.009</v>
      </c>
      <c r="H8" s="13"/>
      <c r="I8" s="17" t="s">
        <v>10</v>
      </c>
      <c r="J8" s="34">
        <f>J5+J6+J7</f>
        <v>274.02276000000001</v>
      </c>
      <c r="K8" s="34">
        <f>K5+K6+K7</f>
        <v>298.613</v>
      </c>
      <c r="L8" s="34">
        <f>L5+L6+L7</f>
        <v>319.76599999999996</v>
      </c>
      <c r="M8" s="34">
        <f t="shared" ref="M8" si="1">M5+M6+M7</f>
        <v>470.25199999999995</v>
      </c>
      <c r="N8" s="34">
        <f t="shared" ref="N8" si="2">N5+N6+N7</f>
        <v>771.01299999999992</v>
      </c>
    </row>
    <row r="9" spans="2:16" ht="15.75" x14ac:dyDescent="0.25">
      <c r="B9" s="35" t="s">
        <v>84</v>
      </c>
      <c r="C9" s="36">
        <v>274.61500000000001</v>
      </c>
      <c r="D9" s="37">
        <v>473.017</v>
      </c>
      <c r="E9" s="37">
        <v>414.13299999999998</v>
      </c>
      <c r="F9" s="37">
        <v>674.72</v>
      </c>
      <c r="G9" s="37">
        <v>687.60199999999998</v>
      </c>
      <c r="H9" s="13"/>
      <c r="I9" s="21" t="s">
        <v>12</v>
      </c>
      <c r="J9" s="38">
        <v>174.935723</v>
      </c>
      <c r="K9" s="38">
        <v>278.67700000000002</v>
      </c>
      <c r="L9" s="38">
        <v>367.77199999999999</v>
      </c>
      <c r="M9" s="38">
        <v>301.33300000000003</v>
      </c>
      <c r="N9" s="38">
        <v>645.30999999999995</v>
      </c>
    </row>
    <row r="10" spans="2:16" ht="16.5" thickBot="1" x14ac:dyDescent="0.3">
      <c r="B10" s="35" t="s">
        <v>85</v>
      </c>
      <c r="C10" s="36">
        <v>136.91300000000001</v>
      </c>
      <c r="D10" s="37">
        <v>27.887</v>
      </c>
      <c r="E10" s="37">
        <v>26.076000000000001</v>
      </c>
      <c r="F10" s="37">
        <v>41.292000000000002</v>
      </c>
      <c r="G10" s="37">
        <v>38.74</v>
      </c>
      <c r="H10" s="13"/>
      <c r="I10" s="39" t="s">
        <v>13</v>
      </c>
      <c r="J10" s="40">
        <v>271.15491600000001</v>
      </c>
      <c r="K10" s="40">
        <v>239.99</v>
      </c>
      <c r="L10" s="40">
        <v>241.66200000000001</v>
      </c>
      <c r="M10" s="40">
        <v>124.89100000000001</v>
      </c>
      <c r="N10" s="40">
        <v>227.56200000000001</v>
      </c>
      <c r="P10" s="3"/>
    </row>
    <row r="11" spans="2:16" ht="16.5" thickBot="1" x14ac:dyDescent="0.3">
      <c r="B11" s="35" t="s">
        <v>86</v>
      </c>
      <c r="C11" s="36">
        <v>1.919</v>
      </c>
      <c r="D11" s="37">
        <v>-6.3929999999999998</v>
      </c>
      <c r="E11" s="37">
        <v>-15.568</v>
      </c>
      <c r="F11" s="37">
        <v>20.652000000000001</v>
      </c>
      <c r="G11" s="37">
        <v>-20.841999999999999</v>
      </c>
      <c r="H11" s="13"/>
      <c r="I11" s="41" t="s">
        <v>15</v>
      </c>
      <c r="J11" s="42">
        <f t="shared" ref="J11:K11" si="3">(J9+J10)</f>
        <v>446.09063900000001</v>
      </c>
      <c r="K11" s="42">
        <f t="shared" si="3"/>
        <v>518.66700000000003</v>
      </c>
      <c r="L11" s="42">
        <f>(L9+L10)</f>
        <v>609.43399999999997</v>
      </c>
      <c r="M11" s="42">
        <f t="shared" ref="M11" si="4">(M9+M10)</f>
        <v>426.22400000000005</v>
      </c>
      <c r="N11" s="42">
        <f t="shared" ref="N11" si="5">(N9+N10)</f>
        <v>872.87199999999996</v>
      </c>
    </row>
    <row r="12" spans="2:16" ht="16.5" thickBot="1" x14ac:dyDescent="0.3">
      <c r="B12" s="35" t="s">
        <v>87</v>
      </c>
      <c r="C12" s="36">
        <v>105.833</v>
      </c>
      <c r="D12" s="37">
        <v>127.468</v>
      </c>
      <c r="E12" s="37">
        <v>102.443</v>
      </c>
      <c r="F12" s="37">
        <v>137.03700000000001</v>
      </c>
      <c r="G12" s="37">
        <v>145.57499999999999</v>
      </c>
      <c r="H12" s="13"/>
      <c r="I12" s="41" t="s">
        <v>17</v>
      </c>
      <c r="J12" s="42">
        <f>J8+J39</f>
        <v>492.72794599999997</v>
      </c>
      <c r="K12" s="42">
        <f t="shared" ref="K12:N12" si="6">K8+K39</f>
        <v>606.88699999999994</v>
      </c>
      <c r="L12" s="42">
        <f t="shared" si="6"/>
        <v>716.62199999999996</v>
      </c>
      <c r="M12" s="42">
        <f t="shared" si="6"/>
        <v>798.99099999999999</v>
      </c>
      <c r="N12" s="42">
        <f t="shared" si="6"/>
        <v>1453.8879999999999</v>
      </c>
    </row>
    <row r="13" spans="2:16" ht="16.5" thickBot="1" x14ac:dyDescent="0.3">
      <c r="B13" s="35" t="s">
        <v>14</v>
      </c>
      <c r="C13" s="36">
        <v>412.54700000000003</v>
      </c>
      <c r="D13" s="37">
        <v>462.59100000000001</v>
      </c>
      <c r="E13" s="37">
        <v>381.41300000000001</v>
      </c>
      <c r="F13" s="37">
        <v>607.13900000000001</v>
      </c>
      <c r="G13" s="37">
        <v>649.93399999999997</v>
      </c>
      <c r="H13" s="13"/>
      <c r="I13" s="43" t="s">
        <v>17</v>
      </c>
      <c r="J13" s="44">
        <f>J43-J31</f>
        <v>492.72741900000005</v>
      </c>
      <c r="K13" s="44">
        <f>K43-K31</f>
        <v>606.88799999999992</v>
      </c>
      <c r="L13" s="44">
        <f>L43-L31</f>
        <v>716.62100000000009</v>
      </c>
      <c r="M13" s="44">
        <f>M43-M31</f>
        <v>798.98800000000006</v>
      </c>
      <c r="N13" s="45">
        <f>N43-N31</f>
        <v>1453.886</v>
      </c>
    </row>
    <row r="14" spans="2:16" ht="16.5" thickBot="1" x14ac:dyDescent="0.3">
      <c r="B14" s="31" t="s">
        <v>16</v>
      </c>
      <c r="C14" s="46">
        <f>(C5-C8)</f>
        <v>68.964000000000055</v>
      </c>
      <c r="D14" s="33">
        <f>(D5-D8)</f>
        <v>103.35199999999986</v>
      </c>
      <c r="E14" s="33">
        <f>(E5-E8)</f>
        <v>121.1389999999999</v>
      </c>
      <c r="F14" s="33">
        <f>(F5-F8)</f>
        <v>271.39399999999978</v>
      </c>
      <c r="G14" s="33">
        <f>(G5-G8)</f>
        <v>500.05199999999991</v>
      </c>
      <c r="H14" s="13"/>
      <c r="I14" s="47"/>
      <c r="J14" s="48"/>
      <c r="K14" s="48"/>
      <c r="L14" s="48"/>
      <c r="M14" s="48"/>
      <c r="N14" s="49"/>
    </row>
    <row r="15" spans="2:16" ht="16.5" thickBot="1" x14ac:dyDescent="0.3">
      <c r="B15" s="23" t="s">
        <v>8</v>
      </c>
      <c r="C15" s="24"/>
      <c r="D15" s="25">
        <f>D14/C14-1</f>
        <v>0.49863697001333707</v>
      </c>
      <c r="E15" s="25">
        <f t="shared" ref="E15:G15" si="7">E14/D14-1</f>
        <v>0.1721011688211167</v>
      </c>
      <c r="F15" s="25">
        <f t="shared" si="7"/>
        <v>1.2403519923393787</v>
      </c>
      <c r="G15" s="25">
        <f t="shared" si="7"/>
        <v>0.84253152243601659</v>
      </c>
      <c r="H15" s="13"/>
      <c r="I15" s="41" t="s">
        <v>19</v>
      </c>
      <c r="J15" s="42">
        <f t="shared" ref="J15:K15" si="8">SUM(J16:J23)</f>
        <v>652.70600000000002</v>
      </c>
      <c r="K15" s="42">
        <f t="shared" si="8"/>
        <v>687.01600000000008</v>
      </c>
      <c r="L15" s="42">
        <f t="shared" ref="L15:M15" si="9">SUM(L16:L23)</f>
        <v>716.11</v>
      </c>
      <c r="M15" s="42">
        <f t="shared" si="9"/>
        <v>711.37199999999996</v>
      </c>
      <c r="N15" s="45">
        <f t="shared" ref="N15" si="10">SUM(N16:N23)</f>
        <v>1306.3050000000001</v>
      </c>
    </row>
    <row r="16" spans="2:16" ht="15.75" x14ac:dyDescent="0.25">
      <c r="B16" s="23" t="s">
        <v>9</v>
      </c>
      <c r="C16" s="23"/>
      <c r="D16" s="28"/>
      <c r="E16" s="28"/>
      <c r="F16" s="28">
        <f>(F14/C14)^(1/3)-1</f>
        <v>0.57879569295150857</v>
      </c>
      <c r="G16" s="28">
        <f>(G14/D14)^(1/3)-1</f>
        <v>0.69134457387596582</v>
      </c>
      <c r="H16" s="13"/>
      <c r="I16" s="21" t="s">
        <v>21</v>
      </c>
      <c r="J16" s="38">
        <v>589.25400000000002</v>
      </c>
      <c r="K16" s="38">
        <v>623.72199999999998</v>
      </c>
      <c r="L16" s="38">
        <v>653.60599999999999</v>
      </c>
      <c r="M16" s="38">
        <v>646.76199999999994</v>
      </c>
      <c r="N16" s="38">
        <v>805.98599999999999</v>
      </c>
      <c r="O16" s="1"/>
    </row>
    <row r="17" spans="2:20" ht="15.75" x14ac:dyDescent="0.25">
      <c r="B17" s="31" t="s">
        <v>18</v>
      </c>
      <c r="C17" s="50">
        <f>(C14/C5)</f>
        <v>6.8909492591360283E-2</v>
      </c>
      <c r="D17" s="51">
        <f>(D14/D5)</f>
        <v>8.70023452718275E-2</v>
      </c>
      <c r="E17" s="51">
        <f>(E14/E5)</f>
        <v>0.11765225769106742</v>
      </c>
      <c r="F17" s="51">
        <f>(F14/F5)</f>
        <v>0.15488456450451241</v>
      </c>
      <c r="G17" s="51">
        <f>(G14/G5)</f>
        <v>0.24989343153457089</v>
      </c>
      <c r="H17" s="13"/>
      <c r="I17" s="26" t="s">
        <v>22</v>
      </c>
      <c r="J17" s="27">
        <v>0</v>
      </c>
      <c r="K17" s="27">
        <v>0</v>
      </c>
      <c r="L17" s="27">
        <v>0</v>
      </c>
      <c r="M17" s="27">
        <v>0</v>
      </c>
      <c r="N17" s="27">
        <v>409.69</v>
      </c>
      <c r="P17" s="4"/>
    </row>
    <row r="18" spans="2:20" ht="15.75" x14ac:dyDescent="0.25">
      <c r="B18" s="35" t="s">
        <v>20</v>
      </c>
      <c r="C18" s="36">
        <v>2.931</v>
      </c>
      <c r="D18" s="52">
        <v>3.27</v>
      </c>
      <c r="E18" s="52">
        <v>1.7869999999999999</v>
      </c>
      <c r="F18" s="52">
        <v>5.59</v>
      </c>
      <c r="G18" s="52">
        <v>8.298</v>
      </c>
      <c r="H18" s="13"/>
      <c r="I18" s="26" t="s">
        <v>92</v>
      </c>
      <c r="J18" s="27">
        <v>53.908999999999999</v>
      </c>
      <c r="K18" s="27">
        <v>53.908999999999999</v>
      </c>
      <c r="L18" s="27">
        <v>53.908999999999999</v>
      </c>
      <c r="M18" s="27">
        <v>53.908999999999999</v>
      </c>
      <c r="N18" s="27">
        <v>53.908999999999999</v>
      </c>
    </row>
    <row r="19" spans="2:20" ht="15.75" x14ac:dyDescent="0.25">
      <c r="B19" s="35" t="s">
        <v>88</v>
      </c>
      <c r="C19" s="36">
        <v>37.655999999999999</v>
      </c>
      <c r="D19" s="52">
        <v>47.707999999999998</v>
      </c>
      <c r="E19" s="52">
        <v>51.881999999999998</v>
      </c>
      <c r="F19" s="52">
        <v>58.75</v>
      </c>
      <c r="G19" s="52">
        <v>60.802</v>
      </c>
      <c r="H19" s="13"/>
      <c r="I19" s="26" t="s">
        <v>93</v>
      </c>
      <c r="J19" s="27">
        <v>0.372</v>
      </c>
      <c r="K19" s="27">
        <v>0.21099999999999999</v>
      </c>
      <c r="L19" s="27">
        <v>0.16400000000000001</v>
      </c>
      <c r="M19" s="27">
        <v>9.4E-2</v>
      </c>
      <c r="N19" s="27">
        <v>2.1179999999999999</v>
      </c>
      <c r="P19" s="6"/>
      <c r="Q19" s="6"/>
      <c r="R19" s="6"/>
      <c r="S19" s="6"/>
      <c r="T19" s="6"/>
    </row>
    <row r="20" spans="2:20" ht="15.75" x14ac:dyDescent="0.25">
      <c r="B20" s="35" t="s">
        <v>23</v>
      </c>
      <c r="C20" s="36">
        <v>43.405000000000001</v>
      </c>
      <c r="D20" s="52">
        <v>44.360999999999997</v>
      </c>
      <c r="E20" s="52">
        <v>44.271999999999998</v>
      </c>
      <c r="F20" s="52">
        <v>37.340000000000003</v>
      </c>
      <c r="G20" s="52">
        <v>41.581000000000003</v>
      </c>
      <c r="H20" s="13"/>
      <c r="I20" s="26" t="s">
        <v>25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P20" s="6"/>
      <c r="Q20" s="6"/>
      <c r="R20" s="6"/>
      <c r="S20" s="6"/>
      <c r="T20" s="6"/>
    </row>
    <row r="21" spans="2:20" ht="15.75" x14ac:dyDescent="0.25">
      <c r="B21" s="35" t="s">
        <v>89</v>
      </c>
      <c r="C21" s="35">
        <v>0</v>
      </c>
      <c r="D21" s="53">
        <v>0</v>
      </c>
      <c r="E21" s="53">
        <v>0</v>
      </c>
      <c r="F21" s="53">
        <v>0</v>
      </c>
      <c r="G21" s="53">
        <v>0</v>
      </c>
      <c r="H21" s="13"/>
      <c r="I21" s="26" t="s">
        <v>27</v>
      </c>
      <c r="J21" s="54">
        <v>0.28799999999999998</v>
      </c>
      <c r="K21" s="54">
        <v>0.28799999999999998</v>
      </c>
      <c r="L21" s="54">
        <v>0.28799999999999998</v>
      </c>
      <c r="M21" s="54">
        <v>4.6130000000000004</v>
      </c>
      <c r="N21" s="54">
        <v>3.6669999999999998</v>
      </c>
    </row>
    <row r="22" spans="2:20" ht="15.75" x14ac:dyDescent="0.25">
      <c r="B22" s="31" t="s">
        <v>24</v>
      </c>
      <c r="C22" s="32">
        <f t="shared" ref="C22:D22" si="11">(C14-C19-C20+C18-C21)</f>
        <v>-9.1659999999999435</v>
      </c>
      <c r="D22" s="33">
        <f t="shared" si="11"/>
        <v>14.552999999999866</v>
      </c>
      <c r="E22" s="33">
        <f>(E14-E19-E20+E18-E21)</f>
        <v>26.771999999999892</v>
      </c>
      <c r="F22" s="33">
        <f>(F14-F19-F20+F18-F21)</f>
        <v>180.89399999999978</v>
      </c>
      <c r="G22" s="33">
        <f>(G14-G19-G20+G18-G21)</f>
        <v>405.96699999999987</v>
      </c>
      <c r="H22" s="13"/>
      <c r="I22" s="26" t="s">
        <v>29</v>
      </c>
      <c r="J22" s="27">
        <v>5.101</v>
      </c>
      <c r="K22" s="27">
        <v>4.9210000000000003</v>
      </c>
      <c r="L22" s="27">
        <v>5.008</v>
      </c>
      <c r="M22" s="27">
        <v>4.8099999999999996</v>
      </c>
      <c r="N22" s="27">
        <v>9.8610000000000007</v>
      </c>
    </row>
    <row r="23" spans="2:20" ht="16.5" thickBot="1" x14ac:dyDescent="0.3">
      <c r="B23" s="35" t="s">
        <v>26</v>
      </c>
      <c r="C23" s="36">
        <v>4.8259999999999996</v>
      </c>
      <c r="D23" s="37">
        <v>-10.037000000000001</v>
      </c>
      <c r="E23" s="37">
        <v>2.0790000000000002</v>
      </c>
      <c r="F23" s="37">
        <v>20.050999999999998</v>
      </c>
      <c r="G23" s="37">
        <v>104.61</v>
      </c>
      <c r="H23" s="13"/>
      <c r="I23" s="39" t="s">
        <v>94</v>
      </c>
      <c r="J23" s="40">
        <v>3.782</v>
      </c>
      <c r="K23" s="40">
        <v>3.9649999999999999</v>
      </c>
      <c r="L23" s="40">
        <v>3.1349999999999998</v>
      </c>
      <c r="M23" s="40">
        <v>1.1839999999999999</v>
      </c>
      <c r="N23" s="40">
        <v>21.074000000000002</v>
      </c>
    </row>
    <row r="24" spans="2:20" ht="16.5" thickBot="1" x14ac:dyDescent="0.3">
      <c r="B24" s="23" t="s">
        <v>28</v>
      </c>
      <c r="C24" s="55">
        <f t="shared" ref="C24:E24" si="12">(C23/C22)</f>
        <v>-0.52651101898320196</v>
      </c>
      <c r="D24" s="56">
        <f t="shared" si="12"/>
        <v>-0.68968597540026755</v>
      </c>
      <c r="E24" s="56">
        <f t="shared" si="12"/>
        <v>7.7655759748991804E-2</v>
      </c>
      <c r="F24" s="56">
        <f>(F23/F22)</f>
        <v>0.11084391964354828</v>
      </c>
      <c r="G24" s="56">
        <f>(G23/G22)</f>
        <v>0.25768104304044426</v>
      </c>
      <c r="H24" s="13"/>
      <c r="I24" s="41" t="s">
        <v>32</v>
      </c>
      <c r="J24" s="42">
        <f>J25+J26+J27+J28+J29+J30</f>
        <v>369.71000000000004</v>
      </c>
      <c r="K24" s="42">
        <f>K25+K26+K27+K28+K29+K30</f>
        <v>375.57100000000003</v>
      </c>
      <c r="L24" s="42">
        <f>L25+L26+L27+L28+L29+L30</f>
        <v>421.92599999999999</v>
      </c>
      <c r="M24" s="42">
        <f>M25+M26+M27+M28+M29+M30</f>
        <v>428.92599999999999</v>
      </c>
      <c r="N24" s="42">
        <f>N25+N26+N27+N28+N29+N30</f>
        <v>684.31799999999998</v>
      </c>
    </row>
    <row r="25" spans="2:20" ht="15.75" x14ac:dyDescent="0.25">
      <c r="B25" s="31" t="s">
        <v>30</v>
      </c>
      <c r="C25" s="32">
        <f t="shared" ref="C25:D25" si="13">(C22-C23)</f>
        <v>-13.991999999999944</v>
      </c>
      <c r="D25" s="33">
        <f t="shared" si="13"/>
        <v>24.589999999999868</v>
      </c>
      <c r="E25" s="33">
        <f>(E22-E23)</f>
        <v>24.692999999999891</v>
      </c>
      <c r="F25" s="33">
        <f>(F22-F23)</f>
        <v>160.84299999999979</v>
      </c>
      <c r="G25" s="33">
        <f>(G22-G23)</f>
        <v>301.35699999999986</v>
      </c>
      <c r="H25" s="13"/>
      <c r="I25" s="21" t="s">
        <v>95</v>
      </c>
      <c r="J25" s="38">
        <v>74.998999999999995</v>
      </c>
      <c r="K25" s="38">
        <v>68.605999999999995</v>
      </c>
      <c r="L25" s="38">
        <v>87.641000000000005</v>
      </c>
      <c r="M25" s="38">
        <v>62.915999999999997</v>
      </c>
      <c r="N25" s="38">
        <v>110.194</v>
      </c>
    </row>
    <row r="26" spans="2:20" ht="15.75" x14ac:dyDescent="0.25">
      <c r="B26" s="31" t="s">
        <v>31</v>
      </c>
      <c r="C26" s="57">
        <f>C25/C5</f>
        <v>-1.3980941075609137E-2</v>
      </c>
      <c r="D26" s="58">
        <f>D25/D5</f>
        <v>2.0700012290369121E-2</v>
      </c>
      <c r="E26" s="58">
        <f>E25/E5</f>
        <v>2.3982261692481511E-2</v>
      </c>
      <c r="F26" s="58">
        <f>F25/F5</f>
        <v>9.1793105258772406E-2</v>
      </c>
      <c r="G26" s="58">
        <f>G25/G5</f>
        <v>0.15059860743875367</v>
      </c>
      <c r="H26" s="13"/>
      <c r="I26" s="26" t="s">
        <v>25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</row>
    <row r="27" spans="2:20" ht="15.75" x14ac:dyDescent="0.25">
      <c r="B27" s="35" t="s">
        <v>33</v>
      </c>
      <c r="C27" s="35">
        <v>0</v>
      </c>
      <c r="D27" s="59">
        <v>0</v>
      </c>
      <c r="E27" s="59">
        <v>0</v>
      </c>
      <c r="F27" s="59">
        <v>0</v>
      </c>
      <c r="G27" s="59">
        <v>0</v>
      </c>
      <c r="H27" s="13"/>
      <c r="I27" s="26" t="s">
        <v>96</v>
      </c>
      <c r="J27" s="54">
        <v>248.077</v>
      </c>
      <c r="K27" s="54">
        <v>244.77799999999999</v>
      </c>
      <c r="L27" s="54">
        <v>238.684</v>
      </c>
      <c r="M27" s="54">
        <v>262.67700000000002</v>
      </c>
      <c r="N27" s="54">
        <v>310.94099999999997</v>
      </c>
    </row>
    <row r="28" spans="2:20" ht="15.75" x14ac:dyDescent="0.25">
      <c r="B28" s="35" t="s">
        <v>34</v>
      </c>
      <c r="C28" s="35">
        <v>0</v>
      </c>
      <c r="D28" s="60">
        <v>0</v>
      </c>
      <c r="E28" s="60">
        <v>0</v>
      </c>
      <c r="F28" s="60">
        <v>0.26200000000000001</v>
      </c>
      <c r="G28" s="60">
        <v>0.47599999999999998</v>
      </c>
      <c r="H28" s="13"/>
      <c r="I28" s="26" t="s">
        <v>97</v>
      </c>
      <c r="J28" s="27">
        <v>5.69</v>
      </c>
      <c r="K28" s="27">
        <v>2.9129999999999998</v>
      </c>
      <c r="L28" s="27">
        <v>2.9550000000000001</v>
      </c>
      <c r="M28" s="27">
        <f>2.785+0.102</f>
        <v>2.887</v>
      </c>
      <c r="N28" s="27">
        <f>4.344+12.901</f>
        <v>17.245000000000001</v>
      </c>
    </row>
    <row r="29" spans="2:20" ht="15.75" x14ac:dyDescent="0.25">
      <c r="B29" s="31" t="s">
        <v>35</v>
      </c>
      <c r="C29" s="32">
        <f t="shared" ref="C29:D29" si="14">(C25-C27+C28)</f>
        <v>-13.991999999999944</v>
      </c>
      <c r="D29" s="33">
        <f t="shared" si="14"/>
        <v>24.589999999999868</v>
      </c>
      <c r="E29" s="33">
        <f>(E25-E27+E28)</f>
        <v>24.692999999999891</v>
      </c>
      <c r="F29" s="33">
        <f>(F25-F27+F28)</f>
        <v>161.10499999999979</v>
      </c>
      <c r="G29" s="33">
        <f>(G25-G27+G28)</f>
        <v>301.83299999999986</v>
      </c>
      <c r="H29" s="13"/>
      <c r="I29" s="26" t="s">
        <v>98</v>
      </c>
      <c r="J29" s="27">
        <v>2.4420000000000002</v>
      </c>
      <c r="K29" s="27">
        <v>0.129</v>
      </c>
      <c r="L29" s="27">
        <v>18.344999999999999</v>
      </c>
      <c r="M29" s="27">
        <v>15.563000000000001</v>
      </c>
      <c r="N29" s="27">
        <v>98.864000000000004</v>
      </c>
    </row>
    <row r="30" spans="2:20" ht="16.5" thickBot="1" x14ac:dyDescent="0.3">
      <c r="B30" s="23" t="s">
        <v>8</v>
      </c>
      <c r="C30" s="24"/>
      <c r="D30" s="25">
        <f>D29/C29-1</f>
        <v>-2.7574328187535713</v>
      </c>
      <c r="E30" s="25">
        <f t="shared" ref="E30:G30" si="15">E29/D29-1</f>
        <v>4.1886945912983364E-3</v>
      </c>
      <c r="F30" s="25">
        <f t="shared" si="15"/>
        <v>5.5243186328109379</v>
      </c>
      <c r="G30" s="25">
        <f t="shared" si="15"/>
        <v>0.87351727134477675</v>
      </c>
      <c r="H30" s="13"/>
      <c r="I30" s="39" t="s">
        <v>38</v>
      </c>
      <c r="J30" s="40">
        <v>38.502000000000002</v>
      </c>
      <c r="K30" s="40">
        <v>59.145000000000003</v>
      </c>
      <c r="L30" s="40">
        <v>74.301000000000002</v>
      </c>
      <c r="M30" s="40">
        <v>84.882999999999996</v>
      </c>
      <c r="N30" s="40">
        <v>147.07400000000001</v>
      </c>
    </row>
    <row r="31" spans="2:20" ht="16.5" thickBot="1" x14ac:dyDescent="0.3">
      <c r="B31" s="23" t="s">
        <v>36</v>
      </c>
      <c r="C31" s="23"/>
      <c r="D31" s="28"/>
      <c r="E31" s="28"/>
      <c r="F31" s="28">
        <f>(F29/C29)^(1/3)-1</f>
        <v>-3.2580994982719456</v>
      </c>
      <c r="G31" s="28">
        <f>(G29/D29)^(1/3)-1</f>
        <v>1.3067616918956837</v>
      </c>
      <c r="H31" s="13"/>
      <c r="I31" s="41" t="s">
        <v>39</v>
      </c>
      <c r="J31" s="42">
        <f>SUM(J33:J37)+J10</f>
        <v>529.688581</v>
      </c>
      <c r="K31" s="42">
        <f t="shared" ref="K31:M31" si="16">SUM(K33:K37)+K10</f>
        <v>455.69900000000007</v>
      </c>
      <c r="L31" s="42">
        <f t="shared" si="16"/>
        <v>421.41500000000002</v>
      </c>
      <c r="M31" s="42">
        <f t="shared" si="16"/>
        <v>341.31</v>
      </c>
      <c r="N31" s="42">
        <f>SUM(N33:N37)+N10</f>
        <v>536.73700000000008</v>
      </c>
      <c r="P31" s="1"/>
    </row>
    <row r="32" spans="2:20" ht="15.75" x14ac:dyDescent="0.25">
      <c r="B32" s="61" t="s">
        <v>37</v>
      </c>
      <c r="C32" s="62">
        <v>-0.99</v>
      </c>
      <c r="D32" s="63">
        <v>1.74</v>
      </c>
      <c r="E32" s="63">
        <v>0.35</v>
      </c>
      <c r="F32" s="63">
        <v>2.27</v>
      </c>
      <c r="G32" s="63">
        <v>4.28</v>
      </c>
      <c r="H32" s="13"/>
      <c r="I32" s="21" t="s">
        <v>40</v>
      </c>
      <c r="J32" s="64"/>
      <c r="K32" s="65"/>
      <c r="L32" s="65"/>
      <c r="M32" s="65"/>
      <c r="N32" s="65"/>
    </row>
    <row r="33" spans="2:15" ht="15.75" x14ac:dyDescent="0.25">
      <c r="B33" s="23" t="s">
        <v>8</v>
      </c>
      <c r="C33" s="24"/>
      <c r="D33" s="25">
        <f>D32/C32-1</f>
        <v>-2.7575757575757578</v>
      </c>
      <c r="E33" s="25">
        <f t="shared" ref="E33:G33" si="17">E32/D32-1</f>
        <v>-0.79885057471264376</v>
      </c>
      <c r="F33" s="25">
        <f t="shared" si="17"/>
        <v>5.4857142857142858</v>
      </c>
      <c r="G33" s="25">
        <f t="shared" si="17"/>
        <v>0.88546255506607929</v>
      </c>
      <c r="H33" s="13"/>
      <c r="I33" s="26" t="s">
        <v>41</v>
      </c>
      <c r="J33" s="66">
        <v>154.73633699999999</v>
      </c>
      <c r="K33" s="27">
        <v>172.98400000000001</v>
      </c>
      <c r="L33" s="27">
        <v>158.898</v>
      </c>
      <c r="M33" s="27">
        <v>162.02699999999999</v>
      </c>
      <c r="N33" s="27">
        <v>179.012</v>
      </c>
    </row>
    <row r="34" spans="2:15" ht="16.5" thickBot="1" x14ac:dyDescent="0.3">
      <c r="B34" s="67" t="s">
        <v>9</v>
      </c>
      <c r="C34" s="67"/>
      <c r="D34" s="68"/>
      <c r="E34" s="68"/>
      <c r="F34" s="68">
        <f>(F32/C32)^(1/3)-1</f>
        <v>-2.318652070017222</v>
      </c>
      <c r="G34" s="68">
        <f>(G32/D32)^(1/3)-1</f>
        <v>0.34988935809149968</v>
      </c>
      <c r="H34" s="13"/>
      <c r="I34" s="26" t="s">
        <v>42</v>
      </c>
      <c r="J34" s="69">
        <v>79.087599999999995</v>
      </c>
      <c r="K34" s="70">
        <v>26.184999999999999</v>
      </c>
      <c r="L34" s="70">
        <v>1.1040000000000001</v>
      </c>
      <c r="M34" s="70">
        <v>1.1259999999999999</v>
      </c>
      <c r="N34" s="70">
        <v>0.16800000000000001</v>
      </c>
    </row>
    <row r="35" spans="2:15" ht="16.5" thickBot="1" x14ac:dyDescent="0.3">
      <c r="B35" s="49"/>
      <c r="C35" s="49"/>
      <c r="D35" s="49"/>
      <c r="E35" s="49"/>
      <c r="F35" s="49"/>
      <c r="G35" s="49"/>
      <c r="H35" s="13"/>
      <c r="I35" s="26" t="s">
        <v>43</v>
      </c>
      <c r="J35" s="66">
        <v>14.367649</v>
      </c>
      <c r="K35" s="27">
        <v>13.824</v>
      </c>
      <c r="L35" s="27">
        <v>17.187000000000001</v>
      </c>
      <c r="M35" s="27">
        <v>31.587</v>
      </c>
      <c r="N35" s="27">
        <v>30.594999999999999</v>
      </c>
    </row>
    <row r="36" spans="2:15" ht="16.5" thickBot="1" x14ac:dyDescent="0.3">
      <c r="B36" s="14" t="s">
        <v>44</v>
      </c>
      <c r="C36" s="71" t="s">
        <v>3</v>
      </c>
      <c r="D36" s="16" t="s">
        <v>4</v>
      </c>
      <c r="E36" s="16" t="s">
        <v>5</v>
      </c>
      <c r="F36" s="16" t="s">
        <v>6</v>
      </c>
      <c r="G36" s="16" t="s">
        <v>106</v>
      </c>
      <c r="H36" s="13"/>
      <c r="I36" s="29" t="s">
        <v>108</v>
      </c>
      <c r="J36" s="72"/>
      <c r="K36" s="73"/>
      <c r="L36" s="73"/>
      <c r="M36" s="73"/>
      <c r="N36" s="73">
        <v>0.92100000000000004</v>
      </c>
    </row>
    <row r="37" spans="2:15" ht="16.5" thickBot="1" x14ac:dyDescent="0.3">
      <c r="B37" s="74" t="s">
        <v>45</v>
      </c>
      <c r="C37" s="75">
        <v>8.4220000000000006</v>
      </c>
      <c r="D37" s="75">
        <v>4.891</v>
      </c>
      <c r="E37" s="75">
        <v>2.9129999999999998</v>
      </c>
      <c r="F37" s="75">
        <v>2.9550000000000001</v>
      </c>
      <c r="G37" s="75">
        <v>2.7850000000000001</v>
      </c>
      <c r="H37" s="13"/>
      <c r="I37" s="29" t="s">
        <v>99</v>
      </c>
      <c r="J37" s="72">
        <v>10.342079</v>
      </c>
      <c r="K37" s="73">
        <v>2.7160000000000002</v>
      </c>
      <c r="L37" s="73">
        <v>2.5640000000000001</v>
      </c>
      <c r="M37" s="73">
        <v>21.678999999999998</v>
      </c>
      <c r="N37" s="73">
        <v>98.478999999999999</v>
      </c>
    </row>
    <row r="38" spans="2:15" ht="16.5" thickBot="1" x14ac:dyDescent="0.3">
      <c r="B38" s="76" t="s">
        <v>46</v>
      </c>
      <c r="C38" s="77">
        <v>36.533999999999999</v>
      </c>
      <c r="D38" s="77">
        <v>34.759</v>
      </c>
      <c r="E38" s="77">
        <v>37.619999999999997</v>
      </c>
      <c r="F38" s="77">
        <v>243.63200000000001</v>
      </c>
      <c r="G38" s="77">
        <v>280.79199999999997</v>
      </c>
      <c r="H38" s="13"/>
      <c r="I38" s="17" t="s">
        <v>104</v>
      </c>
      <c r="J38" s="34">
        <f>J24-J31</f>
        <v>-159.97858099999996</v>
      </c>
      <c r="K38" s="34">
        <f>K24-K31</f>
        <v>-80.128000000000043</v>
      </c>
      <c r="L38" s="34">
        <f>L24-L31</f>
        <v>0.51099999999996726</v>
      </c>
      <c r="M38" s="34">
        <f>M24-M31</f>
        <v>87.615999999999985</v>
      </c>
      <c r="N38" s="34">
        <f>N24-N31</f>
        <v>147.5809999999999</v>
      </c>
    </row>
    <row r="39" spans="2:15" ht="16.5" thickBot="1" x14ac:dyDescent="0.3">
      <c r="B39" s="76" t="s">
        <v>47</v>
      </c>
      <c r="C39" s="77">
        <v>-64.191999999999993</v>
      </c>
      <c r="D39" s="77">
        <v>-52.264000000000003</v>
      </c>
      <c r="E39" s="77">
        <v>-99.706999999999994</v>
      </c>
      <c r="F39" s="77">
        <v>-49.976999999999997</v>
      </c>
      <c r="G39" s="77">
        <v>-730.30499999999995</v>
      </c>
      <c r="H39" s="13"/>
      <c r="I39" s="41" t="s">
        <v>100</v>
      </c>
      <c r="J39" s="42">
        <f>J40+J42+J9</f>
        <v>218.705186</v>
      </c>
      <c r="K39" s="42">
        <f>K40+K42+K9</f>
        <v>308.274</v>
      </c>
      <c r="L39" s="42">
        <f>L40+L42+L9</f>
        <v>396.85599999999999</v>
      </c>
      <c r="M39" s="42">
        <f>M40+M42+M9</f>
        <v>328.73900000000003</v>
      </c>
      <c r="N39" s="42">
        <f>SUM(N40:N42)+N9</f>
        <v>682.875</v>
      </c>
    </row>
    <row r="40" spans="2:15" ht="15.75" x14ac:dyDescent="0.25">
      <c r="B40" s="76" t="s">
        <v>49</v>
      </c>
      <c r="C40" s="77">
        <v>24.126999999999999</v>
      </c>
      <c r="D40" s="77">
        <v>15.507</v>
      </c>
      <c r="E40" s="77">
        <v>62.128999999999998</v>
      </c>
      <c r="F40" s="77">
        <v>-193.82499999999999</v>
      </c>
      <c r="G40" s="77">
        <v>451.07100000000003</v>
      </c>
      <c r="H40" s="13"/>
      <c r="I40" s="21" t="s">
        <v>48</v>
      </c>
      <c r="J40" s="38">
        <v>43.369463000000003</v>
      </c>
      <c r="K40" s="38">
        <v>29.297000000000001</v>
      </c>
      <c r="L40" s="38">
        <v>28.283999999999999</v>
      </c>
      <c r="M40" s="38">
        <v>26.706</v>
      </c>
      <c r="N40" s="38">
        <v>30.943999999999999</v>
      </c>
    </row>
    <row r="41" spans="2:15" ht="16.5" thickBot="1" x14ac:dyDescent="0.3">
      <c r="B41" s="78" t="s">
        <v>51</v>
      </c>
      <c r="C41" s="79">
        <f t="shared" ref="C41" si="18">C38+C39+C40</f>
        <v>-3.5309999999999953</v>
      </c>
      <c r="D41" s="79">
        <f t="shared" ref="D41:F41" si="19">D38+D39+D40</f>
        <v>-1.9980000000000029</v>
      </c>
      <c r="E41" s="79">
        <f t="shared" si="19"/>
        <v>4.2000000000001592E-2</v>
      </c>
      <c r="F41" s="79">
        <f t="shared" si="19"/>
        <v>-0.16999999999998749</v>
      </c>
      <c r="G41" s="79">
        <f t="shared" ref="G41" si="20">G38+G39+G40</f>
        <v>1.5580000000000496</v>
      </c>
      <c r="H41" s="13"/>
      <c r="I41" s="21" t="s">
        <v>108</v>
      </c>
      <c r="J41" s="80"/>
      <c r="K41" s="80"/>
      <c r="L41" s="80"/>
      <c r="M41" s="80"/>
      <c r="N41" s="80">
        <v>6.4210000000000003</v>
      </c>
    </row>
    <row r="42" spans="2:15" ht="16.5" thickBot="1" x14ac:dyDescent="0.3">
      <c r="B42" s="81" t="s">
        <v>53</v>
      </c>
      <c r="C42" s="82">
        <f>C37+C41</f>
        <v>4.8910000000000053</v>
      </c>
      <c r="D42" s="83">
        <f t="shared" ref="D42:F42" si="21">D37+D41</f>
        <v>2.8929999999999971</v>
      </c>
      <c r="E42" s="84">
        <f t="shared" si="21"/>
        <v>2.9550000000000014</v>
      </c>
      <c r="F42" s="84">
        <f t="shared" si="21"/>
        <v>2.7850000000000126</v>
      </c>
      <c r="G42" s="84">
        <f t="shared" ref="G42" si="22">G37+G41</f>
        <v>4.3430000000000497</v>
      </c>
      <c r="H42" s="13"/>
      <c r="I42" s="85" t="s">
        <v>101</v>
      </c>
      <c r="J42" s="40">
        <v>0.4</v>
      </c>
      <c r="K42" s="40">
        <v>0.3</v>
      </c>
      <c r="L42" s="40">
        <v>0.8</v>
      </c>
      <c r="M42" s="40">
        <v>0.7</v>
      </c>
      <c r="N42" s="40">
        <v>0.2</v>
      </c>
      <c r="O42" s="1"/>
    </row>
    <row r="43" spans="2:15" ht="16.5" thickBot="1" x14ac:dyDescent="0.3">
      <c r="B43" s="49"/>
      <c r="C43" s="49"/>
      <c r="D43" s="49"/>
      <c r="E43" s="49"/>
      <c r="F43" s="49"/>
      <c r="G43" s="49"/>
      <c r="H43" s="13"/>
      <c r="I43" s="41" t="s">
        <v>50</v>
      </c>
      <c r="J43" s="42">
        <f>J24+J15</f>
        <v>1022.4160000000001</v>
      </c>
      <c r="K43" s="42">
        <f>K24+K15</f>
        <v>1062.587</v>
      </c>
      <c r="L43" s="42">
        <f>L24+L15</f>
        <v>1138.0360000000001</v>
      </c>
      <c r="M43" s="42">
        <f>M24+M15</f>
        <v>1140.298</v>
      </c>
      <c r="N43" s="42">
        <f>N24+N15</f>
        <v>1990.623</v>
      </c>
    </row>
    <row r="44" spans="2:15" ht="16.5" thickBot="1" x14ac:dyDescent="0.3">
      <c r="B44" s="17" t="s">
        <v>55</v>
      </c>
      <c r="C44" s="71" t="s">
        <v>3</v>
      </c>
      <c r="D44" s="16" t="s">
        <v>4</v>
      </c>
      <c r="E44" s="16" t="s">
        <v>5</v>
      </c>
      <c r="F44" s="16" t="s">
        <v>6</v>
      </c>
      <c r="G44" s="16" t="s">
        <v>106</v>
      </c>
      <c r="H44" s="13"/>
      <c r="I44" s="41" t="s">
        <v>52</v>
      </c>
      <c r="J44" s="42">
        <f>J8+J31+J39</f>
        <v>1022.416527</v>
      </c>
      <c r="K44" s="42">
        <f>K8+K31+K39</f>
        <v>1062.5860000000002</v>
      </c>
      <c r="L44" s="42">
        <f>L8+L31+L39</f>
        <v>1138.037</v>
      </c>
      <c r="M44" s="42">
        <f>M8+M31+M39</f>
        <v>1140.3009999999999</v>
      </c>
      <c r="N44" s="42">
        <f>N39+N31+N8-0.01</f>
        <v>1990.615</v>
      </c>
      <c r="O44" s="2"/>
    </row>
    <row r="45" spans="2:15" ht="16.5" thickBot="1" x14ac:dyDescent="0.3">
      <c r="B45" s="86" t="s">
        <v>56</v>
      </c>
      <c r="C45" s="87">
        <f t="shared" ref="C45" si="23">C38</f>
        <v>36.533999999999999</v>
      </c>
      <c r="D45" s="87">
        <f t="shared" ref="D45:F45" si="24">D38</f>
        <v>34.759</v>
      </c>
      <c r="E45" s="87">
        <f t="shared" si="24"/>
        <v>37.619999999999997</v>
      </c>
      <c r="F45" s="87">
        <f t="shared" si="24"/>
        <v>243.63200000000001</v>
      </c>
      <c r="G45" s="87">
        <f t="shared" ref="G45" si="25">G38</f>
        <v>280.79199999999997</v>
      </c>
      <c r="H45" s="13"/>
      <c r="I45" s="49"/>
      <c r="J45" s="49"/>
      <c r="K45" s="49"/>
      <c r="L45" s="49"/>
      <c r="M45" s="49"/>
      <c r="N45" s="49"/>
    </row>
    <row r="46" spans="2:15" ht="16.5" thickBot="1" x14ac:dyDescent="0.3">
      <c r="B46" s="88" t="s">
        <v>58</v>
      </c>
      <c r="C46" s="89">
        <v>-24.097999999999999</v>
      </c>
      <c r="D46" s="89">
        <v>-56.564999999999998</v>
      </c>
      <c r="E46" s="89">
        <v>-83.665999999999997</v>
      </c>
      <c r="F46" s="89">
        <f>'[1]Peer Sheet'!$B$28</f>
        <v>238.05</v>
      </c>
      <c r="G46" s="89">
        <v>229.24</v>
      </c>
      <c r="H46" s="13"/>
      <c r="I46" s="90" t="s">
        <v>54</v>
      </c>
      <c r="J46" s="91"/>
      <c r="K46" s="91"/>
      <c r="L46" s="91"/>
      <c r="M46" s="91"/>
      <c r="N46" s="92"/>
    </row>
    <row r="47" spans="2:15" ht="16.5" thickBot="1" x14ac:dyDescent="0.3">
      <c r="B47" s="41" t="s">
        <v>60</v>
      </c>
      <c r="C47" s="42">
        <f t="shared" ref="C47" si="26">C45-C46</f>
        <v>60.631999999999998</v>
      </c>
      <c r="D47" s="42">
        <f t="shared" ref="D47:F47" si="27">D45-D46</f>
        <v>91.323999999999998</v>
      </c>
      <c r="E47" s="42">
        <f t="shared" si="27"/>
        <v>121.286</v>
      </c>
      <c r="F47" s="42">
        <f t="shared" si="27"/>
        <v>5.5819999999999936</v>
      </c>
      <c r="G47" s="42">
        <f>G45-G46</f>
        <v>51.551999999999964</v>
      </c>
      <c r="H47" s="13"/>
      <c r="I47" s="93"/>
      <c r="J47" s="71" t="s">
        <v>3</v>
      </c>
      <c r="K47" s="16" t="s">
        <v>4</v>
      </c>
      <c r="L47" s="16" t="s">
        <v>5</v>
      </c>
      <c r="M47" s="16" t="s">
        <v>6</v>
      </c>
      <c r="N47" s="16" t="s">
        <v>106</v>
      </c>
    </row>
    <row r="48" spans="2:15" ht="16.5" thickBot="1" x14ac:dyDescent="0.3">
      <c r="B48" s="49"/>
      <c r="C48" s="49"/>
      <c r="D48" s="49"/>
      <c r="E48" s="49"/>
      <c r="F48" s="49"/>
      <c r="G48" s="49"/>
      <c r="H48" s="13"/>
      <c r="I48" s="94" t="s">
        <v>57</v>
      </c>
      <c r="J48" s="95">
        <v>34.4</v>
      </c>
      <c r="K48" s="96">
        <v>37.049999999999997</v>
      </c>
      <c r="L48" s="96">
        <v>110.25</v>
      </c>
      <c r="M48" s="96">
        <v>91.05</v>
      </c>
      <c r="N48" s="96">
        <v>127.6</v>
      </c>
    </row>
    <row r="49" spans="2:15" ht="16.5" thickBot="1" x14ac:dyDescent="0.3">
      <c r="B49" s="17" t="s">
        <v>55</v>
      </c>
      <c r="C49" s="71" t="s">
        <v>3</v>
      </c>
      <c r="D49" s="16" t="s">
        <v>4</v>
      </c>
      <c r="E49" s="16" t="s">
        <v>5</v>
      </c>
      <c r="F49" s="16" t="s">
        <v>6</v>
      </c>
      <c r="G49" s="16" t="s">
        <v>106</v>
      </c>
      <c r="H49" s="13"/>
      <c r="I49" s="26" t="s">
        <v>59</v>
      </c>
      <c r="J49" s="37">
        <f>C32</f>
        <v>-0.99</v>
      </c>
      <c r="K49" s="37">
        <f>D32</f>
        <v>1.74</v>
      </c>
      <c r="L49" s="37">
        <f>E32</f>
        <v>0.35</v>
      </c>
      <c r="M49" s="37">
        <f>F32</f>
        <v>2.27</v>
      </c>
      <c r="N49" s="37">
        <f>G32</f>
        <v>4.28</v>
      </c>
    </row>
    <row r="50" spans="2:15" ht="15.75" x14ac:dyDescent="0.25">
      <c r="B50" s="97" t="s">
        <v>64</v>
      </c>
      <c r="C50" s="98">
        <v>14157575</v>
      </c>
      <c r="D50" s="98">
        <v>14157575</v>
      </c>
      <c r="E50" s="98">
        <v>14157575</v>
      </c>
      <c r="F50" s="98">
        <v>70787875</v>
      </c>
      <c r="G50" s="98">
        <v>70787876</v>
      </c>
      <c r="H50" s="13"/>
      <c r="I50" s="99" t="s">
        <v>61</v>
      </c>
      <c r="J50" s="100">
        <f>J8*1000000/C50</f>
        <v>19.355204545976271</v>
      </c>
      <c r="K50" s="100">
        <f>K8*1000000/D50</f>
        <v>21.092100871794781</v>
      </c>
      <c r="L50" s="100">
        <f>L8*1000000/E50</f>
        <v>22.586212681197164</v>
      </c>
      <c r="M50" s="100">
        <f>M8*1000000/F50</f>
        <v>6.6431150815023043</v>
      </c>
      <c r="N50" s="100">
        <f>N8*1000000/G50</f>
        <v>10.891879281700723</v>
      </c>
    </row>
    <row r="51" spans="2:15" ht="15.75" x14ac:dyDescent="0.25">
      <c r="B51" s="35" t="s">
        <v>66</v>
      </c>
      <c r="C51" s="59">
        <f>(J48*C50)/1000000</f>
        <v>487.02058</v>
      </c>
      <c r="D51" s="59">
        <f>(K48*D50)/1000000</f>
        <v>524.53815374999999</v>
      </c>
      <c r="E51" s="59">
        <f>(L48*E50)/1000000</f>
        <v>1560.87264375</v>
      </c>
      <c r="F51" s="59">
        <f>(M48*F50)/1000000</f>
        <v>6445.2360187499999</v>
      </c>
      <c r="G51" s="59">
        <f>(N48*G50)/1000000</f>
        <v>9032.5329775999999</v>
      </c>
      <c r="H51" s="13"/>
      <c r="I51" s="101" t="s">
        <v>62</v>
      </c>
      <c r="J51" s="102">
        <v>0</v>
      </c>
      <c r="K51" s="102">
        <v>0.25</v>
      </c>
      <c r="L51" s="102">
        <v>0.25</v>
      </c>
      <c r="M51" s="102">
        <v>0.3</v>
      </c>
      <c r="N51" s="102">
        <v>0.4</v>
      </c>
      <c r="O51" s="5"/>
    </row>
    <row r="52" spans="2:15" ht="15.75" x14ac:dyDescent="0.25">
      <c r="B52" s="35" t="s">
        <v>68</v>
      </c>
      <c r="C52" s="103">
        <f>J11</f>
        <v>446.09063900000001</v>
      </c>
      <c r="D52" s="103">
        <f t="shared" ref="D52:F52" si="28">K11</f>
        <v>518.66700000000003</v>
      </c>
      <c r="E52" s="103">
        <f t="shared" si="28"/>
        <v>609.43399999999997</v>
      </c>
      <c r="F52" s="103">
        <f t="shared" si="28"/>
        <v>426.22400000000005</v>
      </c>
      <c r="G52" s="103">
        <f>N11</f>
        <v>872.87199999999996</v>
      </c>
      <c r="H52" s="13"/>
      <c r="I52" s="99" t="s">
        <v>63</v>
      </c>
      <c r="J52" s="102">
        <f>J48/J49</f>
        <v>-34.747474747474747</v>
      </c>
      <c r="K52" s="102">
        <f t="shared" ref="K52:M52" si="29">K48/K49</f>
        <v>21.293103448275861</v>
      </c>
      <c r="L52" s="102">
        <f t="shared" si="29"/>
        <v>315</v>
      </c>
      <c r="M52" s="102">
        <f t="shared" si="29"/>
        <v>40.110132158590304</v>
      </c>
      <c r="N52" s="102">
        <f t="shared" ref="N52" si="30">N48/N49</f>
        <v>29.813084112149529</v>
      </c>
    </row>
    <row r="53" spans="2:15" ht="16.5" thickBot="1" x14ac:dyDescent="0.3">
      <c r="B53" s="104" t="s">
        <v>70</v>
      </c>
      <c r="C53" s="105">
        <f>J28</f>
        <v>5.69</v>
      </c>
      <c r="D53" s="105">
        <f t="shared" ref="D53:F53" si="31">K28</f>
        <v>2.9129999999999998</v>
      </c>
      <c r="E53" s="105">
        <f t="shared" si="31"/>
        <v>2.9550000000000001</v>
      </c>
      <c r="F53" s="105">
        <f t="shared" si="31"/>
        <v>2.887</v>
      </c>
      <c r="G53" s="105">
        <f>N28</f>
        <v>17.245000000000001</v>
      </c>
      <c r="H53" s="13"/>
      <c r="I53" s="99" t="s">
        <v>65</v>
      </c>
      <c r="J53" s="106">
        <f>J48/J50</f>
        <v>1.7772997396274672</v>
      </c>
      <c r="K53" s="106">
        <f>K48/K50</f>
        <v>1.7565817755757451</v>
      </c>
      <c r="L53" s="106">
        <f>L48/L50</f>
        <v>4.8812964597549469</v>
      </c>
      <c r="M53" s="106">
        <f>M48/M50</f>
        <v>13.705919419268819</v>
      </c>
      <c r="N53" s="106">
        <f>N48/N50</f>
        <v>11.715150039752899</v>
      </c>
      <c r="O53" s="5"/>
    </row>
    <row r="54" spans="2:15" ht="16.5" thickBot="1" x14ac:dyDescent="0.3">
      <c r="B54" s="81" t="s">
        <v>72</v>
      </c>
      <c r="C54" s="107">
        <f>C51+C52-C53</f>
        <v>927.42121899999995</v>
      </c>
      <c r="D54" s="107">
        <f t="shared" ref="D54:F54" si="32">D51+D52-D53</f>
        <v>1040.2921537500001</v>
      </c>
      <c r="E54" s="107">
        <f t="shared" si="32"/>
        <v>2167.3516437500002</v>
      </c>
      <c r="F54" s="107">
        <f t="shared" si="32"/>
        <v>6868.5730187500003</v>
      </c>
      <c r="G54" s="107">
        <f t="shared" ref="G54" si="33">G51+G52-G53</f>
        <v>9888.1599775999985</v>
      </c>
      <c r="H54" s="13"/>
      <c r="I54" s="99" t="s">
        <v>67</v>
      </c>
      <c r="J54" s="102">
        <f>C54/C14</f>
        <v>13.447903529377635</v>
      </c>
      <c r="K54" s="102">
        <f>D54/D14</f>
        <v>10.065525134975632</v>
      </c>
      <c r="L54" s="102">
        <f>E54/E14</f>
        <v>17.891444074575507</v>
      </c>
      <c r="M54" s="102">
        <f>F54/F14</f>
        <v>25.308492519178781</v>
      </c>
      <c r="N54" s="102">
        <f>G54/G14</f>
        <v>19.774263431803092</v>
      </c>
    </row>
    <row r="55" spans="2:15" ht="15.75" x14ac:dyDescent="0.25">
      <c r="B55" s="49"/>
      <c r="C55" s="49"/>
      <c r="D55" s="49"/>
      <c r="E55" s="49"/>
      <c r="F55" s="49"/>
      <c r="G55" s="49"/>
      <c r="H55" s="13"/>
      <c r="I55" s="99" t="s">
        <v>69</v>
      </c>
      <c r="J55" s="108">
        <f>C25/J8</f>
        <v>-5.1061451975740788E-2</v>
      </c>
      <c r="K55" s="108">
        <f>D25/K8</f>
        <v>8.2347386081650389E-2</v>
      </c>
      <c r="L55" s="108">
        <f>E25/L8</f>
        <v>7.7222093655985605E-2</v>
      </c>
      <c r="M55" s="108">
        <f>F25/M8</f>
        <v>0.34203575955019822</v>
      </c>
      <c r="N55" s="108">
        <f>G25/N8</f>
        <v>0.39085851989525455</v>
      </c>
    </row>
    <row r="56" spans="2:15" ht="15.75" x14ac:dyDescent="0.25">
      <c r="B56" s="49"/>
      <c r="C56" s="49"/>
      <c r="D56" s="49"/>
      <c r="E56" s="109"/>
      <c r="F56" s="109"/>
      <c r="G56" s="49"/>
      <c r="H56" s="13"/>
      <c r="I56" s="99" t="s">
        <v>71</v>
      </c>
      <c r="J56" s="108">
        <f>(C14-C19)/J12</f>
        <v>6.3540134579661248E-2</v>
      </c>
      <c r="K56" s="108">
        <f>(D14-D19)/K12</f>
        <v>9.1687579401107402E-2</v>
      </c>
      <c r="L56" s="108">
        <f>(E14-E19)/L12</f>
        <v>9.6643697793257669E-2</v>
      </c>
      <c r="M56" s="108">
        <f>(F14-F19)/M12</f>
        <v>0.26614066991993623</v>
      </c>
      <c r="N56" s="108">
        <f>(G14-G19)/N12</f>
        <v>0.30212093366201515</v>
      </c>
    </row>
    <row r="57" spans="2:15" ht="15.75" x14ac:dyDescent="0.25">
      <c r="B57" s="49"/>
      <c r="C57" s="49"/>
      <c r="D57" s="49"/>
      <c r="E57" s="49"/>
      <c r="F57" s="49"/>
      <c r="G57" s="49"/>
      <c r="H57" s="13"/>
      <c r="I57" s="99" t="s">
        <v>73</v>
      </c>
      <c r="J57" s="110">
        <f>J11/J8</f>
        <v>1.6279328001805398</v>
      </c>
      <c r="K57" s="110">
        <f>K11/K8</f>
        <v>1.7369203618060836</v>
      </c>
      <c r="L57" s="110">
        <f>L11/L8</f>
        <v>1.9058749210360078</v>
      </c>
      <c r="M57" s="110">
        <f>M11/M8</f>
        <v>0.90637360394001532</v>
      </c>
      <c r="N57" s="110">
        <f>N11/N8</f>
        <v>1.1321106129209235</v>
      </c>
    </row>
    <row r="58" spans="2:15" ht="15.75" x14ac:dyDescent="0.25">
      <c r="B58" s="49"/>
      <c r="C58" s="49"/>
      <c r="D58" s="49"/>
      <c r="E58" s="49"/>
      <c r="F58" s="49"/>
      <c r="G58" s="49"/>
      <c r="H58" s="13"/>
      <c r="I58" s="99" t="s">
        <v>74</v>
      </c>
      <c r="J58" s="110">
        <f>(J11-J28)/J8</f>
        <v>1.6071681016569572</v>
      </c>
      <c r="K58" s="110">
        <f>(K11-K28)/K8</f>
        <v>1.7271652607220718</v>
      </c>
      <c r="L58" s="110">
        <f>(L11-L28)/L8</f>
        <v>1.8966337884578097</v>
      </c>
      <c r="M58" s="110">
        <f>(M11-M28)/M8</f>
        <v>0.90023434243767186</v>
      </c>
      <c r="N58" s="110">
        <f>(N11-N28)/N8</f>
        <v>1.1097439342786699</v>
      </c>
    </row>
    <row r="59" spans="2:15" ht="15.75" x14ac:dyDescent="0.25">
      <c r="B59" s="49"/>
      <c r="C59" s="49"/>
      <c r="D59" s="49"/>
      <c r="E59" s="49"/>
      <c r="F59" s="49"/>
      <c r="G59" s="49"/>
      <c r="H59" s="13"/>
      <c r="I59" s="101" t="s">
        <v>75</v>
      </c>
      <c r="J59" s="111">
        <f t="shared" ref="J59:M59" si="34">J51/J48</f>
        <v>0</v>
      </c>
      <c r="K59" s="111">
        <f t="shared" si="34"/>
        <v>6.7476383265856954E-3</v>
      </c>
      <c r="L59" s="111">
        <f t="shared" si="34"/>
        <v>2.2675736961451248E-3</v>
      </c>
      <c r="M59" s="111">
        <f t="shared" si="34"/>
        <v>3.2948929159802307E-3</v>
      </c>
      <c r="N59" s="111">
        <f t="shared" ref="N59" si="35">N51/N48</f>
        <v>3.1347962382445144E-3</v>
      </c>
    </row>
    <row r="60" spans="2:15" ht="15.75" x14ac:dyDescent="0.25">
      <c r="B60" s="49"/>
      <c r="C60" s="49"/>
      <c r="D60" s="49"/>
      <c r="E60" s="49"/>
      <c r="F60" s="49"/>
      <c r="G60" s="49"/>
      <c r="H60" s="13"/>
      <c r="I60" s="99" t="s">
        <v>76</v>
      </c>
      <c r="J60" s="112" t="s">
        <v>107</v>
      </c>
      <c r="K60" s="113">
        <f>(AVERAGE(J27:K27)/D5*365)</f>
        <v>75.717124104107853</v>
      </c>
      <c r="L60" s="113">
        <f t="shared" ref="L60:N60" si="36">(AVERAGE(K27:L27)/E5*365)</f>
        <v>85.692239781825819</v>
      </c>
      <c r="M60" s="113">
        <f t="shared" si="36"/>
        <v>52.218129827408902</v>
      </c>
      <c r="N60" s="113">
        <f t="shared" si="36"/>
        <v>52.314889451146165</v>
      </c>
    </row>
    <row r="61" spans="2:15" ht="15.75" x14ac:dyDescent="0.25">
      <c r="B61" s="49"/>
      <c r="C61" s="49"/>
      <c r="D61" s="49"/>
      <c r="E61" s="49"/>
      <c r="F61" s="49"/>
      <c r="G61" s="49"/>
      <c r="H61" s="13"/>
      <c r="I61" s="114" t="s">
        <v>77</v>
      </c>
      <c r="J61" s="112" t="s">
        <v>107</v>
      </c>
      <c r="K61" s="113">
        <f>(AVERAGE(J33:K33)/D8*365)</f>
        <v>55.145321650515861</v>
      </c>
      <c r="L61" s="113">
        <f t="shared" ref="L61:N61" si="37">(AVERAGE(K33:L33)/E8*365)</f>
        <v>66.668866270334405</v>
      </c>
      <c r="M61" s="113">
        <f t="shared" si="37"/>
        <v>39.551074052564751</v>
      </c>
      <c r="N61" s="113">
        <f t="shared" si="37"/>
        <v>41.465186084826939</v>
      </c>
    </row>
    <row r="62" spans="2:15" ht="15.75" x14ac:dyDescent="0.25">
      <c r="B62" s="49"/>
      <c r="C62" s="49"/>
      <c r="D62" s="49"/>
      <c r="E62" s="49"/>
      <c r="F62" s="49"/>
      <c r="G62" s="49"/>
      <c r="H62" s="13"/>
      <c r="I62" s="114" t="s">
        <v>78</v>
      </c>
      <c r="J62" s="112" t="s">
        <v>107</v>
      </c>
      <c r="K62" s="113">
        <f>(AVERAGE(J25:K25)/D8*365)</f>
        <v>24.164334713296508</v>
      </c>
      <c r="L62" s="113">
        <f t="shared" ref="L62:N62" si="38">(AVERAGE(K25:L25)/E8*365)</f>
        <v>31.387090436181957</v>
      </c>
      <c r="M62" s="113">
        <f t="shared" si="38"/>
        <v>18.554774654925581</v>
      </c>
      <c r="N62" s="113">
        <f t="shared" si="38"/>
        <v>21.047558675530929</v>
      </c>
    </row>
    <row r="63" spans="2:15" ht="15.75" x14ac:dyDescent="0.25">
      <c r="B63" s="49"/>
      <c r="C63" s="49"/>
      <c r="D63" s="49"/>
      <c r="E63" s="49"/>
      <c r="F63" s="49"/>
      <c r="G63" s="49"/>
      <c r="H63" s="13"/>
      <c r="I63" s="114" t="s">
        <v>79</v>
      </c>
      <c r="J63" s="112" t="s">
        <v>107</v>
      </c>
      <c r="K63" s="113">
        <f>(K60+K62-K61)</f>
        <v>44.736137166888504</v>
      </c>
      <c r="L63" s="113">
        <f t="shared" ref="L63:N63" si="39">(L60+L62-L61)</f>
        <v>50.410463947673378</v>
      </c>
      <c r="M63" s="113">
        <f t="shared" si="39"/>
        <v>31.221830429769732</v>
      </c>
      <c r="N63" s="113">
        <f t="shared" si="39"/>
        <v>31.897262041850155</v>
      </c>
    </row>
    <row r="64" spans="2:15" ht="15.75" x14ac:dyDescent="0.25">
      <c r="B64" s="49"/>
      <c r="C64" s="49"/>
      <c r="D64" s="49"/>
      <c r="E64" s="49"/>
      <c r="F64" s="49"/>
      <c r="G64" s="49"/>
      <c r="H64" s="13"/>
      <c r="I64" s="115" t="s">
        <v>103</v>
      </c>
      <c r="J64" s="112" t="s">
        <v>107</v>
      </c>
      <c r="K64" s="113">
        <f>((AVERAGE(J38,K38))/D5)*365</f>
        <v>-36.887481697030616</v>
      </c>
      <c r="L64" s="113">
        <f t="shared" ref="L64:N64" si="40">((AVERAGE(K38,L38))/E5)*365</f>
        <v>-14.111882743027648</v>
      </c>
      <c r="M64" s="113">
        <f t="shared" si="40"/>
        <v>9.1786699150912447</v>
      </c>
      <c r="N64" s="113">
        <f t="shared" si="40"/>
        <v>21.45034684100084</v>
      </c>
    </row>
    <row r="65" spans="2:14" ht="15.75" x14ac:dyDescent="0.25">
      <c r="B65" s="49"/>
      <c r="C65" s="49"/>
      <c r="D65" s="49"/>
      <c r="E65" s="49"/>
      <c r="F65" s="49"/>
      <c r="G65" s="49"/>
      <c r="H65" s="13"/>
      <c r="I65" s="99" t="s">
        <v>80</v>
      </c>
      <c r="J65" s="116">
        <f>C5/(AVERAGE(J16:J16))</f>
        <v>1.6984034049832502</v>
      </c>
      <c r="K65" s="116">
        <f>D5/(AVERAGE(J16:K16))</f>
        <v>1.9586900317895819</v>
      </c>
      <c r="L65" s="116">
        <f t="shared" ref="L65:N65" si="41">E5/(AVERAGE(K16:L16))</f>
        <v>1.612171658336778</v>
      </c>
      <c r="M65" s="116">
        <f t="shared" si="41"/>
        <v>2.6949817282492341</v>
      </c>
      <c r="N65" s="116">
        <f t="shared" si="41"/>
        <v>2.7548631971959345</v>
      </c>
    </row>
    <row r="66" spans="2:14" ht="15.75" x14ac:dyDescent="0.25">
      <c r="B66" s="49"/>
      <c r="C66" s="49"/>
      <c r="D66" s="49"/>
      <c r="E66" s="49"/>
      <c r="F66" s="49"/>
      <c r="G66" s="49"/>
      <c r="H66" s="13"/>
      <c r="I66" s="99" t="s">
        <v>81</v>
      </c>
      <c r="J66" s="117">
        <f>C20/J11</f>
        <v>9.7300853694892261E-2</v>
      </c>
      <c r="K66" s="117">
        <f>D20/K11</f>
        <v>8.5528865341346169E-2</v>
      </c>
      <c r="L66" s="117">
        <f>E20/L11</f>
        <v>7.2644453706225784E-2</v>
      </c>
      <c r="M66" s="117">
        <f>F20/M11</f>
        <v>8.7606516761139674E-2</v>
      </c>
      <c r="N66" s="117">
        <f>G20/N11</f>
        <v>4.7636996031491449E-2</v>
      </c>
    </row>
    <row r="67" spans="2:14" ht="15.75" x14ac:dyDescent="0.25">
      <c r="B67" s="49"/>
      <c r="C67" s="49"/>
      <c r="D67" s="49"/>
      <c r="E67" s="49"/>
      <c r="F67" s="49"/>
      <c r="G67" s="49"/>
      <c r="H67" s="13"/>
      <c r="I67" s="114" t="s">
        <v>82</v>
      </c>
      <c r="J67" s="106">
        <f>C14/C20</f>
        <v>1.5888492109204022</v>
      </c>
      <c r="K67" s="106">
        <f>D14/D20</f>
        <v>2.3297941885890729</v>
      </c>
      <c r="L67" s="106">
        <f>E14/E20</f>
        <v>2.7362441272135865</v>
      </c>
      <c r="M67" s="106">
        <f>F14/F20</f>
        <v>7.2681842528119915</v>
      </c>
      <c r="N67" s="106">
        <f>G14/G20</f>
        <v>12.025973401313097</v>
      </c>
    </row>
    <row r="68" spans="2:14" ht="16.5" thickBot="1" x14ac:dyDescent="0.3">
      <c r="B68" s="49"/>
      <c r="C68" s="49"/>
      <c r="D68" s="49"/>
      <c r="E68" s="49"/>
      <c r="F68" s="49"/>
      <c r="G68" s="49"/>
      <c r="H68" s="13"/>
      <c r="I68" s="118" t="s">
        <v>83</v>
      </c>
      <c r="J68" s="119">
        <f>J66*(1-C24)</f>
        <v>0.14853082532172543</v>
      </c>
      <c r="K68" s="119">
        <f>K66*(1-D24)</f>
        <v>0.14451692425917065</v>
      </c>
      <c r="L68" s="119">
        <f>L66*(1-E24)</f>
        <v>6.700319346211836E-2</v>
      </c>
      <c r="M68" s="119">
        <f>M66*(1-F24)</f>
        <v>7.7895867057016746E-2</v>
      </c>
      <c r="N68" s="119">
        <f>N66*(1-G24)</f>
        <v>3.5361845206783225E-2</v>
      </c>
    </row>
  </sheetData>
  <mergeCells count="4">
    <mergeCell ref="B3:G3"/>
    <mergeCell ref="I3:N3"/>
    <mergeCell ref="I46:N46"/>
    <mergeCell ref="B2:N2"/>
  </mergeCells>
  <phoneticPr fontId="3" type="noConversion"/>
  <pageMargins left="0.7" right="0.7" top="0.75" bottom="0.75" header="0.3" footer="0.3"/>
  <pageSetup paperSize="9" orientation="portrait" r:id="rId1"/>
  <ignoredErrors>
    <ignoredError sqref="K60 K61:K64 L60:N65" formulaRange="1"/>
    <ignoredError sqref="K65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2022-10-27T15:35:03Z</dcterms:created>
  <dcterms:modified xsi:type="dcterms:W3CDTF">2023-05-25T10:34:54Z</dcterms:modified>
</cp:coreProperties>
</file>