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1\Documents\Feedback forms\June\"/>
    </mc:Choice>
  </mc:AlternateContent>
  <xr:revisionPtr revIDLastSave="0" documentId="8_{28292D0F-7608-4B96-837D-889EFD87C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" sheetId="7" r:id="rId1"/>
    <sheet name="standalone" sheetId="10" state="hidden" r:id="rId2"/>
    <sheet name="Peer 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7" l="1"/>
  <c r="W77" i="7"/>
  <c r="W46" i="7"/>
  <c r="K56" i="7"/>
  <c r="K27" i="7"/>
  <c r="K14" i="7"/>
  <c r="K4" i="7"/>
  <c r="W84" i="7" s="1"/>
  <c r="W67" i="7" l="1"/>
  <c r="W70" i="7" s="1"/>
  <c r="W43" i="7"/>
  <c r="W30" i="7"/>
  <c r="W14" i="7"/>
  <c r="W10" i="7"/>
  <c r="W6" i="7"/>
  <c r="W11" i="7" s="1"/>
  <c r="K66" i="7"/>
  <c r="K68" i="7"/>
  <c r="K60" i="7"/>
  <c r="K62" i="7" s="1"/>
  <c r="K57" i="7"/>
  <c r="J60" i="7"/>
  <c r="I60" i="7"/>
  <c r="H60" i="7"/>
  <c r="G60" i="7"/>
  <c r="F60" i="7"/>
  <c r="J61" i="7"/>
  <c r="I19" i="7"/>
  <c r="K67" i="7" l="1"/>
  <c r="W61" i="7"/>
  <c r="W75" i="7"/>
  <c r="W76" i="7"/>
  <c r="W68" i="7"/>
  <c r="W71" i="7" s="1"/>
  <c r="W51" i="7"/>
  <c r="W62" i="7"/>
  <c r="K69" i="7"/>
  <c r="W72" i="7" s="1"/>
  <c r="K48" i="7"/>
  <c r="K42" i="7"/>
  <c r="K37" i="7"/>
  <c r="K28" i="7"/>
  <c r="K9" i="7"/>
  <c r="K6" i="7"/>
  <c r="C54" i="11"/>
  <c r="B54" i="11"/>
  <c r="E52" i="11"/>
  <c r="D52" i="11"/>
  <c r="K51" i="11"/>
  <c r="J51" i="11"/>
  <c r="I51" i="11"/>
  <c r="H51" i="11"/>
  <c r="G51" i="11"/>
  <c r="F51" i="11"/>
  <c r="E51" i="11"/>
  <c r="D51" i="11"/>
  <c r="K49" i="11"/>
  <c r="J49" i="11"/>
  <c r="I49" i="11"/>
  <c r="I46" i="11" s="1"/>
  <c r="H49" i="11"/>
  <c r="G49" i="11"/>
  <c r="F49" i="11"/>
  <c r="E49" i="11"/>
  <c r="D49" i="11"/>
  <c r="C49" i="11"/>
  <c r="B49" i="11"/>
  <c r="K47" i="11"/>
  <c r="J47" i="11"/>
  <c r="J58" i="11" s="1"/>
  <c r="J57" i="11" s="1"/>
  <c r="I47" i="11"/>
  <c r="I58" i="11" s="1"/>
  <c r="I57" i="11" s="1"/>
  <c r="H47" i="11"/>
  <c r="H58" i="11" s="1"/>
  <c r="H57" i="11" s="1"/>
  <c r="G47" i="11"/>
  <c r="F47" i="11"/>
  <c r="F58" i="11" s="1"/>
  <c r="F57" i="11" s="1"/>
  <c r="E47" i="11"/>
  <c r="E58" i="11" s="1"/>
  <c r="E57" i="11" s="1"/>
  <c r="D47" i="11"/>
  <c r="D58" i="11" s="1"/>
  <c r="D57" i="11" s="1"/>
  <c r="C47" i="11"/>
  <c r="B47" i="11"/>
  <c r="B58" i="11" s="1"/>
  <c r="B57" i="11" s="1"/>
  <c r="E46" i="11"/>
  <c r="K45" i="11"/>
  <c r="J45" i="11"/>
  <c r="I45" i="11"/>
  <c r="H45" i="11"/>
  <c r="G45" i="11"/>
  <c r="F45" i="11"/>
  <c r="E45" i="11"/>
  <c r="D45" i="11"/>
  <c r="C45" i="11"/>
  <c r="B45" i="11"/>
  <c r="K43" i="11"/>
  <c r="J43" i="11"/>
  <c r="I43" i="11"/>
  <c r="H43" i="11"/>
  <c r="G43" i="11"/>
  <c r="F43" i="11"/>
  <c r="E43" i="11"/>
  <c r="D43" i="11"/>
  <c r="C43" i="11"/>
  <c r="B43" i="11"/>
  <c r="K36" i="11"/>
  <c r="J36" i="11"/>
  <c r="I36" i="11"/>
  <c r="H36" i="11"/>
  <c r="G36" i="11"/>
  <c r="F36" i="11"/>
  <c r="E36" i="11"/>
  <c r="D36" i="11"/>
  <c r="C36" i="11"/>
  <c r="B36" i="11"/>
  <c r="K35" i="11"/>
  <c r="J35" i="11"/>
  <c r="I35" i="11"/>
  <c r="H35" i="11"/>
  <c r="G35" i="11"/>
  <c r="F35" i="11"/>
  <c r="E35" i="11"/>
  <c r="D35" i="11"/>
  <c r="C35" i="11"/>
  <c r="B35" i="11"/>
  <c r="K29" i="11"/>
  <c r="K30" i="11" s="1"/>
  <c r="J29" i="11"/>
  <c r="I29" i="11"/>
  <c r="I30" i="11" s="1"/>
  <c r="H29" i="11"/>
  <c r="H30" i="11" s="1"/>
  <c r="G29" i="11"/>
  <c r="G30" i="11" s="1"/>
  <c r="G31" i="11" s="1"/>
  <c r="G39" i="11" s="1"/>
  <c r="F29" i="11"/>
  <c r="E29" i="11"/>
  <c r="E30" i="11" s="1"/>
  <c r="D29" i="11"/>
  <c r="D30" i="11" s="1"/>
  <c r="C29" i="11"/>
  <c r="C30" i="11" s="1"/>
  <c r="B29" i="11"/>
  <c r="K26" i="11"/>
  <c r="J26" i="11"/>
  <c r="I26" i="11"/>
  <c r="H26" i="11"/>
  <c r="G26" i="11"/>
  <c r="F26" i="11"/>
  <c r="E26" i="11"/>
  <c r="D26" i="11"/>
  <c r="C26" i="11"/>
  <c r="B26" i="11"/>
  <c r="K20" i="11"/>
  <c r="K60" i="11" s="1"/>
  <c r="J20" i="11"/>
  <c r="J60" i="11" s="1"/>
  <c r="I20" i="11"/>
  <c r="I56" i="11" s="1"/>
  <c r="H20" i="11"/>
  <c r="H60" i="11" s="1"/>
  <c r="G20" i="11"/>
  <c r="G60" i="11" s="1"/>
  <c r="F20" i="11"/>
  <c r="F60" i="11" s="1"/>
  <c r="E20" i="11"/>
  <c r="E56" i="11" s="1"/>
  <c r="D20" i="11"/>
  <c r="D60" i="11" s="1"/>
  <c r="C20" i="11"/>
  <c r="C60" i="11" s="1"/>
  <c r="B20" i="11"/>
  <c r="B60" i="11" s="1"/>
  <c r="K15" i="11"/>
  <c r="J15" i="11"/>
  <c r="I15" i="11"/>
  <c r="H15" i="11"/>
  <c r="G15" i="11"/>
  <c r="F15" i="11"/>
  <c r="E15" i="11"/>
  <c r="D15" i="11"/>
  <c r="K14" i="11"/>
  <c r="I14" i="11"/>
  <c r="G14" i="11"/>
  <c r="E14" i="11"/>
  <c r="C14" i="11"/>
  <c r="K11" i="11"/>
  <c r="J11" i="11"/>
  <c r="I11" i="11"/>
  <c r="H11" i="11"/>
  <c r="G11" i="11"/>
  <c r="F11" i="11"/>
  <c r="E11" i="11"/>
  <c r="D11" i="11"/>
  <c r="K10" i="11"/>
  <c r="I10" i="11"/>
  <c r="G10" i="11"/>
  <c r="E10" i="11"/>
  <c r="C10" i="11"/>
  <c r="K7" i="11"/>
  <c r="I7" i="11"/>
  <c r="G7" i="11"/>
  <c r="E7" i="11"/>
  <c r="C5" i="11"/>
  <c r="C7" i="11" s="1"/>
  <c r="B5" i="11"/>
  <c r="B11" i="11" s="1"/>
  <c r="W78" i="7" l="1"/>
  <c r="W80" i="7"/>
  <c r="B44" i="11"/>
  <c r="B38" i="11" s="1"/>
  <c r="F44" i="11"/>
  <c r="F38" i="11" s="1"/>
  <c r="J44" i="11"/>
  <c r="J38" i="11" s="1"/>
  <c r="C44" i="11"/>
  <c r="C38" i="11" s="1"/>
  <c r="G44" i="11"/>
  <c r="G38" i="11" s="1"/>
  <c r="K44" i="11"/>
  <c r="K38" i="11" s="1"/>
  <c r="C31" i="11"/>
  <c r="C39" i="11" s="1"/>
  <c r="K31" i="11"/>
  <c r="K39" i="11" s="1"/>
  <c r="C56" i="11"/>
  <c r="D31" i="11"/>
  <c r="D39" i="11" s="1"/>
  <c r="H31" i="11"/>
  <c r="H39" i="11" s="1"/>
  <c r="C46" i="11"/>
  <c r="G46" i="11"/>
  <c r="K46" i="11"/>
  <c r="E31" i="11"/>
  <c r="E39" i="11" s="1"/>
  <c r="I31" i="11"/>
  <c r="I39" i="11" s="1"/>
  <c r="B46" i="11"/>
  <c r="J46" i="11"/>
  <c r="H56" i="11"/>
  <c r="K56" i="11"/>
  <c r="D44" i="11"/>
  <c r="D38" i="11" s="1"/>
  <c r="H44" i="11"/>
  <c r="H38" i="11" s="1"/>
  <c r="F46" i="11"/>
  <c r="D56" i="11"/>
  <c r="G56" i="11"/>
  <c r="K16" i="7"/>
  <c r="B15" i="11"/>
  <c r="B30" i="11"/>
  <c r="B31" i="11" s="1"/>
  <c r="B39" i="11" s="1"/>
  <c r="F30" i="11"/>
  <c r="F31" i="11" s="1"/>
  <c r="F39" i="11" s="1"/>
  <c r="J30" i="11"/>
  <c r="J31" i="11" s="1"/>
  <c r="J39" i="11" s="1"/>
  <c r="D46" i="11"/>
  <c r="H46" i="11"/>
  <c r="B51" i="11"/>
  <c r="D55" i="11"/>
  <c r="H55" i="11"/>
  <c r="B56" i="11"/>
  <c r="F56" i="11"/>
  <c r="J56" i="11"/>
  <c r="C15" i="11"/>
  <c r="E44" i="11"/>
  <c r="E38" i="11" s="1"/>
  <c r="I44" i="11"/>
  <c r="I38" i="11" s="1"/>
  <c r="C51" i="11"/>
  <c r="E55" i="11"/>
  <c r="I55" i="11"/>
  <c r="C58" i="11"/>
  <c r="C57" i="11" s="1"/>
  <c r="G58" i="11"/>
  <c r="G57" i="11" s="1"/>
  <c r="K58" i="11"/>
  <c r="K57" i="11" s="1"/>
  <c r="E60" i="11"/>
  <c r="I60" i="11"/>
  <c r="B55" i="11"/>
  <c r="F55" i="11"/>
  <c r="J55" i="11"/>
  <c r="C11" i="11"/>
  <c r="C55" i="11"/>
  <c r="G55" i="11"/>
  <c r="K55" i="11"/>
  <c r="K24" i="7" l="1"/>
  <c r="K19" i="7"/>
  <c r="W74" i="7"/>
  <c r="V77" i="7"/>
  <c r="V67" i="7"/>
  <c r="V70" i="7" s="1"/>
  <c r="V46" i="7"/>
  <c r="W79" i="7" s="1"/>
  <c r="W81" i="7" s="1"/>
  <c r="K30" i="7" l="1"/>
  <c r="K29" i="7"/>
  <c r="J48" i="7"/>
  <c r="J27" i="7"/>
  <c r="J28" i="7" s="1"/>
  <c r="J4" i="7"/>
  <c r="V84" i="7" s="1"/>
  <c r="W73" i="7" l="1"/>
  <c r="K31" i="7"/>
  <c r="K38" i="7"/>
  <c r="K43" i="7" s="1"/>
  <c r="I68" i="7"/>
  <c r="J68" i="7"/>
  <c r="I66" i="7"/>
  <c r="J66" i="7"/>
  <c r="J56" i="7"/>
  <c r="J57" i="7" s="1"/>
  <c r="J42" i="7" l="1"/>
  <c r="I43" i="7" l="1"/>
  <c r="V6" i="7"/>
  <c r="V10" i="7"/>
  <c r="V14" i="7"/>
  <c r="V30" i="7"/>
  <c r="V43" i="7"/>
  <c r="U77" i="7"/>
  <c r="U80" i="7"/>
  <c r="U84" i="7"/>
  <c r="U67" i="7"/>
  <c r="U70" i="7" s="1"/>
  <c r="U43" i="7"/>
  <c r="U30" i="7"/>
  <c r="U14" i="7"/>
  <c r="T14" i="7"/>
  <c r="U10" i="7"/>
  <c r="U6" i="7"/>
  <c r="I62" i="7"/>
  <c r="I57" i="7"/>
  <c r="D6" i="7"/>
  <c r="D9" i="7"/>
  <c r="D28" i="7"/>
  <c r="D37" i="7"/>
  <c r="D56" i="7"/>
  <c r="D57" i="7" s="1"/>
  <c r="D61" i="7"/>
  <c r="D66" i="7"/>
  <c r="D68" i="7"/>
  <c r="I31" i="7"/>
  <c r="I6" i="7"/>
  <c r="U78" i="7" s="1"/>
  <c r="U11" i="7" l="1"/>
  <c r="U74" i="7" s="1"/>
  <c r="V68" i="7"/>
  <c r="V71" i="7" s="1"/>
  <c r="V11" i="7"/>
  <c r="V76" i="7"/>
  <c r="V83" i="7"/>
  <c r="V75" i="7"/>
  <c r="U61" i="7"/>
  <c r="U83" i="7"/>
  <c r="I67" i="7"/>
  <c r="I69" i="7" s="1"/>
  <c r="U72" i="7" s="1"/>
  <c r="J67" i="7"/>
  <c r="J69" i="7" s="1"/>
  <c r="V72" i="7" s="1"/>
  <c r="V51" i="7"/>
  <c r="W82" i="7" s="1"/>
  <c r="D60" i="7"/>
  <c r="D62" i="7" s="1"/>
  <c r="U68" i="7"/>
  <c r="U71" i="7" s="1"/>
  <c r="D16" i="7"/>
  <c r="D19" i="7" s="1"/>
  <c r="U73" i="7"/>
  <c r="V62" i="7"/>
  <c r="V61" i="7"/>
  <c r="U76" i="7"/>
  <c r="U75" i="7"/>
  <c r="U62" i="7"/>
  <c r="U51" i="7"/>
  <c r="D24" i="7" l="1"/>
  <c r="D29" i="7" s="1"/>
  <c r="D30" i="7"/>
  <c r="D31" i="7" s="1"/>
  <c r="D38" i="7"/>
  <c r="E61" i="7" l="1"/>
  <c r="F61" i="7"/>
  <c r="H61" i="7"/>
  <c r="G61" i="7"/>
  <c r="S84" i="7" l="1"/>
  <c r="R84" i="7"/>
  <c r="Q84" i="7"/>
  <c r="P84" i="7"/>
  <c r="H68" i="7"/>
  <c r="G68" i="7"/>
  <c r="F68" i="7"/>
  <c r="E68" i="7"/>
  <c r="C68" i="7"/>
  <c r="B68" i="7"/>
  <c r="O80" i="7"/>
  <c r="N80" i="7"/>
  <c r="H66" i="7"/>
  <c r="G66" i="7"/>
  <c r="F66" i="7"/>
  <c r="E66" i="7"/>
  <c r="C66" i="7"/>
  <c r="B66" i="7"/>
  <c r="O79" i="7"/>
  <c r="N79" i="7"/>
  <c r="T77" i="7"/>
  <c r="S77" i="7"/>
  <c r="R77" i="7"/>
  <c r="Q77" i="7"/>
  <c r="P77" i="7"/>
  <c r="O77" i="7"/>
  <c r="N77" i="7"/>
  <c r="C61" i="7"/>
  <c r="T67" i="7"/>
  <c r="T70" i="7" s="1"/>
  <c r="S67" i="7"/>
  <c r="S70" i="7" s="1"/>
  <c r="R67" i="7"/>
  <c r="R70" i="7" s="1"/>
  <c r="Q67" i="7"/>
  <c r="Q70" i="7" s="1"/>
  <c r="P67" i="7"/>
  <c r="P70" i="7" s="1"/>
  <c r="O67" i="7"/>
  <c r="O70" i="7" s="1"/>
  <c r="N67" i="7"/>
  <c r="N70" i="7" s="1"/>
  <c r="H56" i="7"/>
  <c r="H57" i="7" s="1"/>
  <c r="G56" i="7"/>
  <c r="G57" i="7" s="1"/>
  <c r="F56" i="7"/>
  <c r="F57" i="7" s="1"/>
  <c r="E56" i="7"/>
  <c r="E57" i="7" s="1"/>
  <c r="C56" i="7"/>
  <c r="C57" i="7" s="1"/>
  <c r="B56" i="7"/>
  <c r="B57" i="7" s="1"/>
  <c r="T46" i="7"/>
  <c r="S46" i="7"/>
  <c r="S43" i="7" s="1"/>
  <c r="R46" i="7"/>
  <c r="R43" i="7" s="1"/>
  <c r="Q43" i="7"/>
  <c r="P43" i="7"/>
  <c r="O43" i="7"/>
  <c r="N43" i="7"/>
  <c r="J37" i="7"/>
  <c r="H37" i="7"/>
  <c r="G37" i="7"/>
  <c r="F37" i="7"/>
  <c r="E37" i="7"/>
  <c r="T30" i="7"/>
  <c r="S30" i="7"/>
  <c r="R30" i="7"/>
  <c r="Q30" i="7"/>
  <c r="Q61" i="7" s="1"/>
  <c r="P30" i="7"/>
  <c r="P61" i="7" s="1"/>
  <c r="O30" i="7"/>
  <c r="O61" i="7" s="1"/>
  <c r="N30" i="7"/>
  <c r="N61" i="7" s="1"/>
  <c r="H28" i="7"/>
  <c r="G28" i="7"/>
  <c r="F28" i="7"/>
  <c r="E28" i="7"/>
  <c r="S14" i="7"/>
  <c r="R14" i="7"/>
  <c r="Q14" i="7"/>
  <c r="P14" i="7"/>
  <c r="J9" i="7"/>
  <c r="T10" i="7"/>
  <c r="H67" i="7" s="1"/>
  <c r="S10" i="7"/>
  <c r="R10" i="7"/>
  <c r="Q10" i="7"/>
  <c r="Q83" i="7" s="1"/>
  <c r="P10" i="7"/>
  <c r="D67" i="7" s="1"/>
  <c r="D69" i="7" s="1"/>
  <c r="O10" i="7"/>
  <c r="N10" i="7"/>
  <c r="H9" i="7"/>
  <c r="G9" i="7"/>
  <c r="S80" i="7" s="1"/>
  <c r="F9" i="7"/>
  <c r="R80" i="7" s="1"/>
  <c r="E9" i="7"/>
  <c r="Q79" i="7" s="1"/>
  <c r="P79" i="7"/>
  <c r="C9" i="7"/>
  <c r="B9" i="7"/>
  <c r="T6" i="7"/>
  <c r="S6" i="7"/>
  <c r="S11" i="7" s="1"/>
  <c r="R6" i="7"/>
  <c r="Q6" i="7"/>
  <c r="Q68" i="7" s="1"/>
  <c r="Q71" i="7" s="1"/>
  <c r="P6" i="7"/>
  <c r="P68" i="7" s="1"/>
  <c r="P71" i="7" s="1"/>
  <c r="O6" i="7"/>
  <c r="O11" i="7" s="1"/>
  <c r="N6" i="7"/>
  <c r="N11" i="7" s="1"/>
  <c r="H6" i="7"/>
  <c r="K8" i="7" s="1"/>
  <c r="G6" i="7"/>
  <c r="F6" i="7"/>
  <c r="I8" i="7" s="1"/>
  <c r="E6" i="7"/>
  <c r="C6" i="7"/>
  <c r="B6" i="7"/>
  <c r="T68" i="7" l="1"/>
  <c r="T71" i="7" s="1"/>
  <c r="T11" i="7"/>
  <c r="R68" i="7"/>
  <c r="R71" i="7" s="1"/>
  <c r="R11" i="7"/>
  <c r="V80" i="7"/>
  <c r="V79" i="7"/>
  <c r="I7" i="7"/>
  <c r="T43" i="7"/>
  <c r="T51" i="7" s="1"/>
  <c r="U82" i="7" s="1"/>
  <c r="U79" i="7"/>
  <c r="U81" i="7" s="1"/>
  <c r="R51" i="7"/>
  <c r="F16" i="7"/>
  <c r="F19" i="7" s="1"/>
  <c r="S76" i="7"/>
  <c r="G16" i="7"/>
  <c r="C7" i="7"/>
  <c r="P78" i="7"/>
  <c r="T78" i="7"/>
  <c r="H16" i="7"/>
  <c r="E16" i="7"/>
  <c r="E24" i="7" s="1"/>
  <c r="T79" i="7"/>
  <c r="O76" i="7"/>
  <c r="R61" i="7"/>
  <c r="O62" i="7"/>
  <c r="N75" i="7"/>
  <c r="R75" i="7"/>
  <c r="S61" i="7"/>
  <c r="P62" i="7"/>
  <c r="N62" i="7"/>
  <c r="S62" i="7"/>
  <c r="H69" i="7"/>
  <c r="R62" i="7"/>
  <c r="H7" i="7"/>
  <c r="P11" i="7"/>
  <c r="J6" i="7"/>
  <c r="K7" i="7" s="1"/>
  <c r="E7" i="7"/>
  <c r="Q11" i="7"/>
  <c r="B16" i="7"/>
  <c r="N51" i="7"/>
  <c r="N82" i="7" s="1"/>
  <c r="S68" i="7"/>
  <c r="S71" i="7" s="1"/>
  <c r="N73" i="7"/>
  <c r="O75" i="7"/>
  <c r="S75" i="7"/>
  <c r="P76" i="7"/>
  <c r="T76" i="7"/>
  <c r="Q78" i="7"/>
  <c r="R79" i="7"/>
  <c r="P80" i="7"/>
  <c r="T80" i="7"/>
  <c r="E67" i="7"/>
  <c r="E69" i="7" s="1"/>
  <c r="N83" i="7"/>
  <c r="R83" i="7"/>
  <c r="F7" i="7"/>
  <c r="G8" i="7"/>
  <c r="C16" i="7"/>
  <c r="O51" i="7"/>
  <c r="S51" i="7"/>
  <c r="O73" i="7"/>
  <c r="P75" i="7"/>
  <c r="T75" i="7"/>
  <c r="Q76" i="7"/>
  <c r="N78" i="7"/>
  <c r="N81" i="7" s="1"/>
  <c r="R78" i="7"/>
  <c r="S79" i="7"/>
  <c r="Q80" i="7"/>
  <c r="B67" i="7"/>
  <c r="B69" i="7" s="1"/>
  <c r="F67" i="7"/>
  <c r="F69" i="7" s="1"/>
  <c r="O83" i="7"/>
  <c r="S83" i="7"/>
  <c r="G7" i="7"/>
  <c r="H8" i="7"/>
  <c r="P51" i="7"/>
  <c r="Q75" i="7"/>
  <c r="N76" i="7"/>
  <c r="R76" i="7"/>
  <c r="O78" i="7"/>
  <c r="O81" i="7" s="1"/>
  <c r="S78" i="7"/>
  <c r="C67" i="7"/>
  <c r="C69" i="7" s="1"/>
  <c r="G67" i="7"/>
  <c r="G69" i="7" s="1"/>
  <c r="P83" i="7"/>
  <c r="T83" i="7"/>
  <c r="Q51" i="7"/>
  <c r="Q62" i="7"/>
  <c r="H19" i="7" l="1"/>
  <c r="K18" i="7"/>
  <c r="G24" i="7"/>
  <c r="G19" i="7"/>
  <c r="V82" i="7"/>
  <c r="V78" i="7"/>
  <c r="V81" i="7" s="1"/>
  <c r="T81" i="7"/>
  <c r="J8" i="7"/>
  <c r="J7" i="7"/>
  <c r="T62" i="7"/>
  <c r="P81" i="7"/>
  <c r="H24" i="7"/>
  <c r="I17" i="7"/>
  <c r="F24" i="7"/>
  <c r="I18" i="7"/>
  <c r="N72" i="7"/>
  <c r="Q13" i="7"/>
  <c r="P13" i="7"/>
  <c r="S72" i="7"/>
  <c r="E17" i="7"/>
  <c r="E19" i="7"/>
  <c r="S81" i="7"/>
  <c r="J16" i="7"/>
  <c r="R81" i="7"/>
  <c r="Q72" i="7"/>
  <c r="E29" i="7"/>
  <c r="R72" i="7"/>
  <c r="O72" i="7"/>
  <c r="Q81" i="7"/>
  <c r="Q74" i="7"/>
  <c r="T72" i="7"/>
  <c r="S74" i="7"/>
  <c r="G17" i="7"/>
  <c r="G18" i="7"/>
  <c r="B19" i="7"/>
  <c r="N74" i="7"/>
  <c r="B24" i="7"/>
  <c r="H17" i="7"/>
  <c r="H18" i="7"/>
  <c r="T74" i="7"/>
  <c r="E60" i="7"/>
  <c r="E62" i="7" s="1"/>
  <c r="E30" i="7"/>
  <c r="S82" i="7"/>
  <c r="T82" i="7"/>
  <c r="P74" i="7"/>
  <c r="Q82" i="7"/>
  <c r="O82" i="7"/>
  <c r="R74" i="7"/>
  <c r="F17" i="7"/>
  <c r="R82" i="7"/>
  <c r="O74" i="7"/>
  <c r="C24" i="7"/>
  <c r="C17" i="7"/>
  <c r="C19" i="7"/>
  <c r="P82" i="7"/>
  <c r="P72" i="7"/>
  <c r="J19" i="7" l="1"/>
  <c r="K17" i="7"/>
  <c r="V74" i="7"/>
  <c r="J18" i="7"/>
  <c r="J17" i="7"/>
  <c r="J24" i="7"/>
  <c r="J62" i="7" s="1"/>
  <c r="F62" i="7"/>
  <c r="F30" i="7"/>
  <c r="I32" i="7" s="1"/>
  <c r="F29" i="7"/>
  <c r="Q73" i="7"/>
  <c r="E38" i="7"/>
  <c r="E43" i="7" s="1"/>
  <c r="E31" i="7"/>
  <c r="B60" i="7"/>
  <c r="B62" i="7" s="1"/>
  <c r="B30" i="7"/>
  <c r="C60" i="7"/>
  <c r="C62" i="7" s="1"/>
  <c r="C30" i="7"/>
  <c r="H62" i="7"/>
  <c r="H30" i="7"/>
  <c r="K32" i="7" s="1"/>
  <c r="H29" i="7"/>
  <c r="G62" i="7"/>
  <c r="G30" i="7"/>
  <c r="G29" i="7"/>
  <c r="J30" i="7" l="1"/>
  <c r="V73" i="7" s="1"/>
  <c r="J29" i="7"/>
  <c r="P73" i="7"/>
  <c r="T73" i="7"/>
  <c r="H38" i="7"/>
  <c r="H43" i="7" s="1"/>
  <c r="H32" i="7"/>
  <c r="H31" i="7"/>
  <c r="G31" i="7"/>
  <c r="S73" i="7"/>
  <c r="G38" i="7"/>
  <c r="G43" i="7" s="1"/>
  <c r="F38" i="7"/>
  <c r="F43" i="7" s="1"/>
  <c r="F31" i="7"/>
  <c r="R73" i="7"/>
  <c r="J31" i="7" l="1"/>
  <c r="J32" i="7"/>
  <c r="J38" i="7"/>
  <c r="J43" i="7" s="1"/>
  <c r="P48" i="10" l="1"/>
  <c r="Q48" i="10"/>
  <c r="R48" i="10"/>
  <c r="F86" i="10"/>
  <c r="G86" i="10"/>
  <c r="H86" i="10"/>
  <c r="E86" i="10"/>
  <c r="G49" i="10"/>
  <c r="F49" i="10"/>
  <c r="E49" i="10"/>
  <c r="H49" i="10"/>
  <c r="G45" i="10"/>
  <c r="F45" i="10"/>
  <c r="E45" i="10"/>
  <c r="H45" i="10"/>
  <c r="G42" i="10"/>
  <c r="F42" i="10"/>
  <c r="E42" i="10"/>
  <c r="H42" i="10"/>
  <c r="I39" i="10"/>
  <c r="G28" i="10"/>
  <c r="F28" i="10"/>
  <c r="E28" i="10"/>
  <c r="H28" i="10"/>
  <c r="G39" i="10"/>
  <c r="F39" i="10"/>
  <c r="E39" i="10"/>
  <c r="H39" i="10"/>
  <c r="H52" i="10" l="1"/>
  <c r="E52" i="10"/>
  <c r="F52" i="10"/>
  <c r="G52" i="10"/>
  <c r="R10" i="10"/>
  <c r="R32" i="10"/>
  <c r="Q32" i="10"/>
  <c r="Q59" i="10" s="1"/>
  <c r="Q44" i="10"/>
  <c r="Q10" i="10"/>
  <c r="Q6" i="10"/>
  <c r="Q11" i="10" s="1"/>
  <c r="R44" i="10"/>
  <c r="R6" i="10"/>
  <c r="R11" i="10" s="1"/>
  <c r="Q60" i="10" l="1"/>
  <c r="R60" i="10"/>
  <c r="R52" i="10"/>
  <c r="P44" i="10" l="1"/>
  <c r="O44" i="10"/>
  <c r="P32" i="10"/>
  <c r="P59" i="10" s="1"/>
  <c r="F71" i="10" l="1"/>
  <c r="I14" i="10"/>
  <c r="I9" i="10" s="1"/>
  <c r="I4" i="10"/>
  <c r="R82" i="10"/>
  <c r="Q82" i="10"/>
  <c r="P82" i="10"/>
  <c r="O82" i="10"/>
  <c r="N82" i="10"/>
  <c r="N78" i="10"/>
  <c r="M78" i="10"/>
  <c r="L78" i="10"/>
  <c r="N77" i="10"/>
  <c r="M77" i="10"/>
  <c r="L77" i="10"/>
  <c r="R75" i="10"/>
  <c r="Q75" i="10"/>
  <c r="P75" i="10"/>
  <c r="O75" i="10"/>
  <c r="N75" i="10"/>
  <c r="M75" i="10"/>
  <c r="L75" i="10"/>
  <c r="H89" i="10"/>
  <c r="G89" i="10"/>
  <c r="F89" i="10"/>
  <c r="E89" i="10"/>
  <c r="D89" i="10"/>
  <c r="C89" i="10"/>
  <c r="B89" i="10"/>
  <c r="H87" i="10"/>
  <c r="G87" i="10"/>
  <c r="F87" i="10"/>
  <c r="E87" i="10"/>
  <c r="D87" i="10"/>
  <c r="C87" i="10"/>
  <c r="B87" i="10"/>
  <c r="C82" i="10"/>
  <c r="R65" i="10"/>
  <c r="R68" i="10" s="1"/>
  <c r="Q65" i="10"/>
  <c r="Q68" i="10" s="1"/>
  <c r="P65" i="10"/>
  <c r="P68" i="10" s="1"/>
  <c r="O65" i="10"/>
  <c r="O68" i="10" s="1"/>
  <c r="N65" i="10"/>
  <c r="N68" i="10" s="1"/>
  <c r="M65" i="10"/>
  <c r="M68" i="10" s="1"/>
  <c r="L65" i="10"/>
  <c r="L68" i="10" s="1"/>
  <c r="C80" i="10"/>
  <c r="B80" i="10"/>
  <c r="C78" i="10"/>
  <c r="B78" i="10"/>
  <c r="H77" i="10"/>
  <c r="G77" i="10"/>
  <c r="F77" i="10"/>
  <c r="E77" i="10"/>
  <c r="C77" i="10"/>
  <c r="B77" i="10"/>
  <c r="H71" i="10"/>
  <c r="H73" i="10" s="1"/>
  <c r="G71" i="10"/>
  <c r="G73" i="10" s="1"/>
  <c r="H62" i="10" s="1"/>
  <c r="F73" i="10"/>
  <c r="G62" i="10" s="1"/>
  <c r="E71" i="10"/>
  <c r="E73" i="10" s="1"/>
  <c r="D71" i="10"/>
  <c r="D73" i="10" s="1"/>
  <c r="C71" i="10"/>
  <c r="C73" i="10" s="1"/>
  <c r="B71" i="10"/>
  <c r="B73" i="10" s="1"/>
  <c r="N44" i="10"/>
  <c r="M44" i="10"/>
  <c r="L44" i="10"/>
  <c r="R59" i="10"/>
  <c r="R12" i="10" s="1"/>
  <c r="O32" i="10"/>
  <c r="O59" i="10" s="1"/>
  <c r="N32" i="10"/>
  <c r="N59" i="10" s="1"/>
  <c r="M32" i="10"/>
  <c r="L32" i="10"/>
  <c r="L59" i="10" s="1"/>
  <c r="R81" i="10"/>
  <c r="P10" i="10"/>
  <c r="O10" i="10"/>
  <c r="N10" i="10"/>
  <c r="N81" i="10" s="1"/>
  <c r="M10" i="10"/>
  <c r="L10" i="10"/>
  <c r="B88" i="10" s="1"/>
  <c r="H9" i="10"/>
  <c r="R77" i="10" s="1"/>
  <c r="G9" i="10"/>
  <c r="Q78" i="10" s="1"/>
  <c r="F9" i="10"/>
  <c r="P78" i="10" s="1"/>
  <c r="E9" i="10"/>
  <c r="O77" i="10" s="1"/>
  <c r="D9" i="10"/>
  <c r="C9" i="10"/>
  <c r="B9" i="10"/>
  <c r="R66" i="10"/>
  <c r="R69" i="10" s="1"/>
  <c r="P6" i="10"/>
  <c r="P11" i="10" s="1"/>
  <c r="O6" i="10"/>
  <c r="O11" i="10" s="1"/>
  <c r="N6" i="10"/>
  <c r="N66" i="10" s="1"/>
  <c r="N69" i="10" s="1"/>
  <c r="M6" i="10"/>
  <c r="M11" i="10" s="1"/>
  <c r="L6" i="10"/>
  <c r="L11" i="10" s="1"/>
  <c r="I6" i="10"/>
  <c r="H6" i="10"/>
  <c r="G6" i="10"/>
  <c r="F6" i="10"/>
  <c r="E6" i="10"/>
  <c r="O76" i="10" s="1"/>
  <c r="D6" i="10"/>
  <c r="C6" i="10"/>
  <c r="B6" i="10"/>
  <c r="I16" i="10" l="1"/>
  <c r="O81" i="10"/>
  <c r="O60" i="10"/>
  <c r="F88" i="10"/>
  <c r="F90" i="10" s="1"/>
  <c r="P60" i="10"/>
  <c r="L12" i="10"/>
  <c r="B16" i="10"/>
  <c r="B24" i="10" s="1"/>
  <c r="B76" i="10" s="1"/>
  <c r="B81" i="10" s="1"/>
  <c r="B83" i="10" s="1"/>
  <c r="P12" i="10"/>
  <c r="O66" i="10"/>
  <c r="O69" i="10" s="1"/>
  <c r="L74" i="10"/>
  <c r="P77" i="10"/>
  <c r="F16" i="10"/>
  <c r="F19" i="10" s="1"/>
  <c r="E7" i="10"/>
  <c r="F8" i="10"/>
  <c r="M52" i="10"/>
  <c r="Q52" i="10"/>
  <c r="O12" i="10"/>
  <c r="N12" i="10"/>
  <c r="N52" i="10"/>
  <c r="P74" i="10"/>
  <c r="L81" i="10"/>
  <c r="B90" i="10"/>
  <c r="P81" i="10"/>
  <c r="L60" i="10"/>
  <c r="N60" i="10"/>
  <c r="R73" i="10"/>
  <c r="N11" i="10"/>
  <c r="M73" i="10"/>
  <c r="Q73" i="10"/>
  <c r="M60" i="10"/>
  <c r="N73" i="10"/>
  <c r="I19" i="10"/>
  <c r="I24" i="10"/>
  <c r="M59" i="10"/>
  <c r="M12" i="10" s="1"/>
  <c r="C88" i="10"/>
  <c r="C90" i="10" s="1"/>
  <c r="F7" i="10"/>
  <c r="G8" i="10"/>
  <c r="C16" i="10"/>
  <c r="G16" i="10"/>
  <c r="O52" i="10"/>
  <c r="P66" i="10"/>
  <c r="P69" i="10" s="1"/>
  <c r="D88" i="10"/>
  <c r="D90" i="10" s="1"/>
  <c r="H88" i="10"/>
  <c r="H90" i="10" s="1"/>
  <c r="O73" i="10"/>
  <c r="M74" i="10"/>
  <c r="Q74" i="10"/>
  <c r="L76" i="10"/>
  <c r="L79" i="10" s="1"/>
  <c r="P76" i="10"/>
  <c r="Q77" i="10"/>
  <c r="R78" i="10"/>
  <c r="M81" i="10"/>
  <c r="Q81" i="10"/>
  <c r="Q12" i="10"/>
  <c r="G88" i="10"/>
  <c r="G90" i="10" s="1"/>
  <c r="C7" i="10"/>
  <c r="G7" i="10"/>
  <c r="H8" i="10"/>
  <c r="D16" i="10"/>
  <c r="H16" i="10"/>
  <c r="L52" i="10"/>
  <c r="L80" i="10" s="1"/>
  <c r="P52" i="10"/>
  <c r="Q66" i="10"/>
  <c r="Q69" i="10" s="1"/>
  <c r="E88" i="10"/>
  <c r="E90" i="10" s="1"/>
  <c r="L73" i="10"/>
  <c r="P73" i="10"/>
  <c r="N74" i="10"/>
  <c r="R74" i="10"/>
  <c r="M76" i="10"/>
  <c r="M79" i="10" s="1"/>
  <c r="Q76" i="10"/>
  <c r="O78" i="10"/>
  <c r="O79" i="10" s="1"/>
  <c r="D7" i="10"/>
  <c r="H7" i="10"/>
  <c r="E16" i="10"/>
  <c r="O74" i="10"/>
  <c r="N76" i="10"/>
  <c r="N79" i="10" s="1"/>
  <c r="R76" i="10"/>
  <c r="B30" i="10" l="1"/>
  <c r="B19" i="10"/>
  <c r="L72" i="10"/>
  <c r="P79" i="10"/>
  <c r="L70" i="10"/>
  <c r="L71" i="10"/>
  <c r="N80" i="10"/>
  <c r="O80" i="10"/>
  <c r="R70" i="10"/>
  <c r="F24" i="10"/>
  <c r="F18" i="10"/>
  <c r="P70" i="10"/>
  <c r="Q80" i="10"/>
  <c r="P72" i="10"/>
  <c r="R80" i="10"/>
  <c r="M70" i="10"/>
  <c r="N70" i="10"/>
  <c r="Q79" i="10"/>
  <c r="M80" i="10"/>
  <c r="C79" i="10"/>
  <c r="H24" i="10"/>
  <c r="H30" i="10" s="1"/>
  <c r="H40" i="10" s="1"/>
  <c r="H53" i="10" s="1"/>
  <c r="H19" i="10"/>
  <c r="R72" i="10"/>
  <c r="H17" i="10"/>
  <c r="H18" i="10"/>
  <c r="G18" i="10"/>
  <c r="G17" i="10"/>
  <c r="G24" i="10"/>
  <c r="G30" i="10" s="1"/>
  <c r="G40" i="10" s="1"/>
  <c r="G53" i="10" s="1"/>
  <c r="G19" i="10"/>
  <c r="Q72" i="10"/>
  <c r="O70" i="10"/>
  <c r="I29" i="10"/>
  <c r="I30" i="10"/>
  <c r="I40" i="10" s="1"/>
  <c r="D24" i="10"/>
  <c r="D19" i="10"/>
  <c r="N72" i="10"/>
  <c r="D17" i="10"/>
  <c r="Q70" i="10"/>
  <c r="C24" i="10"/>
  <c r="C19" i="10"/>
  <c r="C17" i="10"/>
  <c r="M72" i="10"/>
  <c r="R79" i="10"/>
  <c r="P80" i="10"/>
  <c r="O72" i="10"/>
  <c r="E17" i="10"/>
  <c r="E19" i="10"/>
  <c r="E24" i="10"/>
  <c r="E30" i="10" s="1"/>
  <c r="E40" i="10" s="1"/>
  <c r="E53" i="10" s="1"/>
  <c r="F17" i="10"/>
  <c r="F76" i="10" l="1"/>
  <c r="F81" i="10" s="1"/>
  <c r="F83" i="10" s="1"/>
  <c r="F30" i="10"/>
  <c r="F40" i="10" s="1"/>
  <c r="F53" i="10" s="1"/>
  <c r="F29" i="10"/>
  <c r="E29" i="10"/>
  <c r="E76" i="10"/>
  <c r="E81" i="10" s="1"/>
  <c r="E83" i="10" s="1"/>
  <c r="G29" i="10"/>
  <c r="G76" i="10"/>
  <c r="G81" i="10" s="1"/>
  <c r="G83" i="10" s="1"/>
  <c r="C76" i="10"/>
  <c r="C81" i="10" s="1"/>
  <c r="C83" i="10" s="1"/>
  <c r="C30" i="10"/>
  <c r="D30" i="10"/>
  <c r="D29" i="10"/>
  <c r="I31" i="10"/>
  <c r="H76" i="10"/>
  <c r="H81" i="10" s="1"/>
  <c r="H83" i="10" s="1"/>
  <c r="H29" i="10"/>
  <c r="F31" i="10" l="1"/>
  <c r="E31" i="10"/>
  <c r="D31" i="10"/>
  <c r="H32" i="10"/>
  <c r="H31" i="10"/>
  <c r="M71" i="10"/>
  <c r="G31" i="10"/>
  <c r="P71" i="10"/>
  <c r="N71" i="10" l="1"/>
  <c r="Q71" i="10"/>
  <c r="O71" i="10"/>
  <c r="R71" i="10"/>
  <c r="T84" i="7" l="1"/>
  <c r="T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</authors>
  <commentList>
    <comment ref="A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 this</t>
        </r>
      </text>
    </comment>
    <comment ref="Q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Old Format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</authors>
  <commentList>
    <comment ref="P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</t>
        </r>
      </text>
    </comment>
    <comment ref="P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
</t>
        </r>
      </text>
    </comment>
    <comment ref="F3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
</t>
        </r>
      </text>
    </comment>
    <comment ref="P3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
</t>
        </r>
      </text>
    </comment>
    <comment ref="A4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 this</t>
        </r>
      </text>
    </comment>
    <comment ref="P4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
</t>
        </r>
      </text>
    </comment>
    <comment ref="R4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Check the allocation
</t>
        </r>
      </text>
    </comment>
    <comment ref="O4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Suyash:
Format Change
</t>
        </r>
      </text>
    </comment>
    <comment ref="R5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Please Check the allocation</t>
        </r>
      </text>
    </comment>
  </commentList>
</comments>
</file>

<file path=xl/sharedStrings.xml><?xml version="1.0" encoding="utf-8"?>
<sst xmlns="http://schemas.openxmlformats.org/spreadsheetml/2006/main" count="488" uniqueCount="254">
  <si>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</si>
  <si>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</si>
  <si>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</si>
  <si>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</si>
  <si>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</si>
  <si>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</si>
  <si>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</si>
  <si>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Effective tax rate (%)</t>
  </si>
  <si>
    <t>PAT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</si>
  <si>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</si>
  <si>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</si>
  <si>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</si>
  <si>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</si>
  <si>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</si>
  <si>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</si>
  <si>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</si>
  <si>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</si>
  <si>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</si>
  <si>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</si>
  <si>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</si>
  <si>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</si>
  <si>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</si>
  <si>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</si>
  <si>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</si>
  <si>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</si>
  <si>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</si>
  <si>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</si>
  <si>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</si>
  <si>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</si>
  <si>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</si>
  <si>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</si>
  <si>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</si>
  <si>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</si>
  <si>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</si>
  <si>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</si>
  <si>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</si>
  <si>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</si>
  <si>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</si>
  <si>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</si>
  <si>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</si>
  <si>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</si>
  <si>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</si>
  <si>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</si>
  <si>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</si>
  <si>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</si>
  <si>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</si>
  <si>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</si>
  <si>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</si>
  <si>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</si>
  <si>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</si>
  <si>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</si>
  <si>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</si>
  <si>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</si>
  <si>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</si>
  <si>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</si>
  <si>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</si>
  <si>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</si>
  <si>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</si>
  <si>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</si>
  <si>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</si>
  <si>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</si>
  <si>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</si>
  <si>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</si>
  <si>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</si>
  <si>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</si>
  <si>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</si>
  <si>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</si>
  <si>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</si>
  <si>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</si>
  <si>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</si>
  <si>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</si>
  <si>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</si>
  <si>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</si>
  <si>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</si>
  <si>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</si>
  <si>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</si>
  <si>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</si>
  <si>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</si>
  <si>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</si>
  <si>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</si>
  <si>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</si>
  <si>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</si>
  <si>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</si>
  <si>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</si>
  <si>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</si>
  <si>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</si>
  <si>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</si>
  <si>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Non-Current Investments</t>
  </si>
  <si>
    <t>Financial Assets</t>
  </si>
  <si>
    <t>Depreciation and amortisation cost</t>
  </si>
  <si>
    <t>a) Investment</t>
  </si>
  <si>
    <t>Finance Cost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</si>
  <si>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</si>
  <si>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</si>
  <si>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</si>
  <si>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</si>
  <si>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</si>
  <si>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</si>
  <si>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</si>
  <si>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</si>
  <si>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</si>
  <si>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</si>
  <si>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</si>
  <si>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Provisions</t>
  </si>
  <si>
    <t>Long Term Provisions</t>
  </si>
  <si>
    <t>Deferred Tax Liability (Net)</t>
  </si>
  <si>
    <t>Other Financial Liabilities</t>
  </si>
  <si>
    <t>Defferred tax assets</t>
  </si>
  <si>
    <t>FY20</t>
  </si>
  <si>
    <t>Fixed Assets Turnover Ratio</t>
  </si>
  <si>
    <t>Net Sales</t>
  </si>
  <si>
    <t>3 Years CAGR (%)</t>
  </si>
  <si>
    <t>EBITDA Margin (%)</t>
  </si>
  <si>
    <t>PAT Margin (%)</t>
  </si>
  <si>
    <t>Balance Sheet Comparision</t>
  </si>
  <si>
    <t>Long Term</t>
  </si>
  <si>
    <t>Short Term</t>
  </si>
  <si>
    <t>CFO</t>
  </si>
  <si>
    <t>EV/ EBITDA</t>
  </si>
  <si>
    <t>ROE</t>
  </si>
  <si>
    <t>ROCE</t>
  </si>
  <si>
    <t>Gross Debt/Equity</t>
  </si>
  <si>
    <t>Interest Coverage Ratio</t>
  </si>
  <si>
    <t>Interest Cost (%)</t>
  </si>
  <si>
    <t>Fixed Asset Turnover</t>
  </si>
  <si>
    <t>Q1-FY21</t>
  </si>
  <si>
    <t>Lease Liability</t>
  </si>
  <si>
    <t>Other Non Current Liability</t>
  </si>
  <si>
    <t>Investment Property</t>
  </si>
  <si>
    <t>Investment Property Under Development</t>
  </si>
  <si>
    <t>Intangible Assets</t>
  </si>
  <si>
    <t>Intangible Assets Under Development</t>
  </si>
  <si>
    <t>b) Loans</t>
  </si>
  <si>
    <t>c) Other Financial Assets</t>
  </si>
  <si>
    <t>Advanced Tax (Net of Provisons)</t>
  </si>
  <si>
    <t>Assets classified as held for sale</t>
  </si>
  <si>
    <t>Financial Liabilities</t>
  </si>
  <si>
    <t>(i) Borrowings</t>
  </si>
  <si>
    <t>(ii) Lease liabilities</t>
  </si>
  <si>
    <t>(iii) Trade Payables</t>
  </si>
  <si>
    <t>(iv) Other financial liabilities</t>
  </si>
  <si>
    <t>Other current liabilities</t>
  </si>
  <si>
    <t>Purchases of Traded Goods</t>
  </si>
  <si>
    <t>Changes in inventory of FG WIP &amp; Traded Goods</t>
  </si>
  <si>
    <t>Current Tax</t>
  </si>
  <si>
    <t>MAT Credit recognised</t>
  </si>
  <si>
    <t>Deferred Tax</t>
  </si>
  <si>
    <t>Discontinued Operations</t>
  </si>
  <si>
    <t>(a) Profit before tax from discontinued operations</t>
  </si>
  <si>
    <t>(b) Gain on demerger of Cement business division</t>
  </si>
  <si>
    <t>(c) Tax (Expense) / Income of discontinued operations</t>
  </si>
  <si>
    <t>Profit after tax from discontinued operations</t>
  </si>
  <si>
    <t>Profit for the year</t>
  </si>
  <si>
    <t>Other comprehensive income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</si>
  <si>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</si>
  <si>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</si>
  <si>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</si>
  <si>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</si>
  <si>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</si>
  <si>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(b) Net gain / (loss) on Fair value through Other Comprehensive Income (OCI) - Equity Instruments</t>
  </si>
  <si>
    <t>(c) Income tax on (a) &amp; (b)</t>
  </si>
  <si>
    <t>(iii) Items that will not be re-classified to profit or loss - discontinued operations</t>
  </si>
  <si>
    <t>Total other comprehensive income for the year (net of tax)</t>
  </si>
  <si>
    <t>Total comprehensive income for the year</t>
  </si>
  <si>
    <t>(a) Basic &amp; Diluted Earnings Per Share - Continuing operations</t>
  </si>
  <si>
    <t>(b) Basic &amp; Diluted Earnings Per Share - Discontinued operations</t>
  </si>
  <si>
    <t>(c) Basic &amp; Diluted Earnings Per Share - (Continuing &amp; discontinued operations)</t>
  </si>
  <si>
    <t>Y/E, Mar (Rs. Cr)</t>
  </si>
  <si>
    <t>(Loss) on measurement to net realisable value</t>
  </si>
  <si>
    <t>(c) Basic &amp; Diluted Earnings Per Share – (Continuing &amp; Discontinued operations</t>
  </si>
  <si>
    <t>Acquisition of property, plant and equipment by means of a finance lease</t>
  </si>
  <si>
    <t>Century Textile and Industries. (Consolidated)</t>
  </si>
  <si>
    <t>Century Textile and Industries. (Standalone)</t>
  </si>
  <si>
    <t>CTIL</t>
  </si>
  <si>
    <t>Godrej Properties</t>
  </si>
  <si>
    <t>-</t>
  </si>
  <si>
    <t>JK Paper</t>
  </si>
  <si>
    <t>Depreciation</t>
  </si>
  <si>
    <t>EBIT</t>
  </si>
  <si>
    <t>Net Debt/Equity</t>
  </si>
  <si>
    <t>Oberoi Realty</t>
  </si>
  <si>
    <t>Liabilities directly associated with assets held for sale</t>
  </si>
  <si>
    <t>Minority Interest</t>
  </si>
  <si>
    <t>NA</t>
  </si>
  <si>
    <t>Total Tax Expense</t>
  </si>
  <si>
    <t>Defferred tax assets (net)</t>
  </si>
  <si>
    <t>NON- CURRENT ASSETS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</si>
  <si>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</si>
  <si>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</si>
  <si>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</si>
  <si>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</si>
  <si>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</si>
  <si>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(i) Lease liabilities</t>
  </si>
  <si>
    <t>(ii) Trade Payables</t>
  </si>
  <si>
    <t>(iii) Other financial liabilities</t>
  </si>
  <si>
    <t>EPS (Rs) (from Continuing Operations)</t>
  </si>
  <si>
    <t>(f) Current Investment</t>
  </si>
  <si>
    <t>FY21</t>
  </si>
  <si>
    <t>Continuing operations</t>
  </si>
  <si>
    <t>Discontinuing Operations</t>
  </si>
  <si>
    <t>Y/E, Mar (Rs. Cr.)</t>
  </si>
  <si>
    <t>(b) Gain on demerger of Cement business division(then Sale of Yarn division in 9MFY22)</t>
  </si>
  <si>
    <t>FY22</t>
  </si>
  <si>
    <t>Excp Item (share of profit to JV)</t>
  </si>
  <si>
    <t>Investment accounted for using equity method</t>
  </si>
  <si>
    <t>Consolidated (In Mn)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</si>
  <si>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</si>
  <si>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</si>
  <si>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</si>
  <si>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</si>
  <si>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</si>
  <si>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</si>
  <si>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</si>
  <si>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</si>
  <si>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 xml:space="preserve">EBITDA </t>
  </si>
  <si>
    <t>EBITDA 2019 (Ratestar)</t>
  </si>
  <si>
    <t>PAT 2019 (FY20-AR)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</si>
  <si>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</si>
  <si>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</si>
  <si>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</si>
  <si>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</si>
  <si>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</si>
  <si>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</si>
  <si>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</si>
  <si>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</si>
  <si>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</si>
  <si>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Operational Ratios Comparison</t>
  </si>
  <si>
    <t>CMP (As on 31st March FY21 &amp; FY22)</t>
  </si>
  <si>
    <t>Book Value</t>
  </si>
  <si>
    <t>Book Value Per Share</t>
  </si>
  <si>
    <t>Capital Employeed</t>
  </si>
  <si>
    <t>Non Current Liabilities</t>
  </si>
  <si>
    <t>PPE -Balance Sheet</t>
  </si>
  <si>
    <t>CWIP - Balance Sheet</t>
  </si>
  <si>
    <t>Investment- Balance Sheet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</si>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</sst>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</numFmts>
  <fonts count="19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227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8" fontId="1" fillId="4" borderId="1" xfId="2" applyNumberFormat="1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1" fillId="0" borderId="1" xfId="0" applyFont="1" applyBorder="1" applyAlignment="1">
      <alignment horizontal="right"/>
    </xf>
    <xf numFmtId="0" fontId="0" fillId="0" borderId="1" xfId="0" applyBorder="1"/>
    <xf numFmtId="0" fontId="8" fillId="0" borderId="0" xfId="0" applyFont="1" applyAlignment="1">
      <alignment horizontal="center"/>
    </xf>
    <xf numFmtId="168" fontId="5" fillId="0" borderId="0" xfId="2" applyNumberFormat="1" applyFont="1" applyFill="1" applyBorder="1"/>
    <xf numFmtId="168" fontId="5" fillId="4" borderId="0" xfId="2" applyNumberFormat="1" applyFont="1" applyFill="1" applyBorder="1"/>
    <xf numFmtId="0" fontId="5" fillId="0" borderId="0" xfId="0" applyFont="1" applyAlignment="1">
      <alignment horizontal="center"/>
    </xf>
    <xf numFmtId="168" fontId="4" fillId="0" borderId="0" xfId="2" applyNumberFormat="1" applyFont="1" applyBorder="1"/>
    <xf numFmtId="168" fontId="5" fillId="0" borderId="0" xfId="2" applyNumberFormat="1" applyFont="1" applyBorder="1"/>
    <xf numFmtId="168" fontId="4" fillId="4" borderId="0" xfId="2" applyNumberFormat="1" applyFont="1" applyFill="1" applyBorder="1"/>
    <xf numFmtId="3" fontId="10" fillId="0" borderId="0" xfId="0" applyNumberFormat="1" applyFont="1"/>
    <xf numFmtId="0" fontId="13" fillId="0" borderId="1" xfId="0" applyFont="1" applyBorder="1"/>
    <xf numFmtId="168" fontId="4" fillId="0" borderId="0" xfId="2" applyNumberFormat="1" applyFont="1" applyFill="1" applyBorder="1"/>
    <xf numFmtId="43" fontId="5" fillId="4" borderId="1" xfId="0" applyNumberFormat="1" applyFont="1" applyFill="1" applyBorder="1"/>
    <xf numFmtId="168" fontId="5" fillId="4" borderId="2" xfId="2" applyNumberFormat="1" applyFont="1" applyFill="1" applyBorder="1"/>
    <xf numFmtId="0" fontId="11" fillId="0" borderId="0" xfId="0" applyFont="1"/>
    <xf numFmtId="43" fontId="5" fillId="0" borderId="0" xfId="2" applyFont="1" applyFill="1" applyBorder="1"/>
    <xf numFmtId="0" fontId="5" fillId="0" borderId="3" xfId="0" applyFont="1" applyBorder="1"/>
    <xf numFmtId="165" fontId="4" fillId="0" borderId="3" xfId="0" applyNumberFormat="1" applyFont="1" applyBorder="1"/>
    <xf numFmtId="168" fontId="5" fillId="0" borderId="3" xfId="2" applyNumberFormat="1" applyFont="1" applyBorder="1"/>
    <xf numFmtId="167" fontId="4" fillId="4" borderId="1" xfId="0" applyNumberFormat="1" applyFont="1" applyFill="1" applyBorder="1"/>
    <xf numFmtId="10" fontId="4" fillId="0" borderId="0" xfId="0" applyNumberFormat="1" applyFont="1"/>
    <xf numFmtId="10" fontId="6" fillId="0" borderId="0" xfId="0" applyNumberFormat="1" applyFont="1"/>
    <xf numFmtId="168" fontId="4" fillId="0" borderId="0" xfId="0" applyNumberFormat="1" applyFont="1"/>
    <xf numFmtId="168" fontId="4" fillId="0" borderId="1" xfId="0" applyNumberFormat="1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0" fontId="5" fillId="0" borderId="13" xfId="0" applyFont="1" applyBorder="1"/>
    <xf numFmtId="168" fontId="5" fillId="4" borderId="14" xfId="2" applyNumberFormat="1" applyFont="1" applyFill="1" applyBorder="1"/>
    <xf numFmtId="168" fontId="5" fillId="4" borderId="17" xfId="2" applyNumberFormat="1" applyFont="1" applyFill="1" applyBorder="1"/>
    <xf numFmtId="0" fontId="5" fillId="3" borderId="8" xfId="0" applyFont="1" applyFill="1" applyBorder="1"/>
    <xf numFmtId="0" fontId="5" fillId="4" borderId="11" xfId="0" applyFont="1" applyFill="1" applyBorder="1"/>
    <xf numFmtId="0" fontId="5" fillId="4" borderId="13" xfId="0" applyFont="1" applyFill="1" applyBorder="1"/>
    <xf numFmtId="168" fontId="1" fillId="4" borderId="14" xfId="2" applyNumberFormat="1" applyFont="1" applyFill="1" applyBorder="1"/>
    <xf numFmtId="0" fontId="6" fillId="4" borderId="11" xfId="0" applyFont="1" applyFill="1" applyBorder="1"/>
    <xf numFmtId="0" fontId="5" fillId="0" borderId="14" xfId="0" applyFont="1" applyBorder="1"/>
    <xf numFmtId="168" fontId="5" fillId="0" borderId="14" xfId="2" applyNumberFormat="1" applyFont="1" applyBorder="1"/>
    <xf numFmtId="43" fontId="5" fillId="0" borderId="14" xfId="2" applyFont="1" applyBorder="1"/>
    <xf numFmtId="168" fontId="5" fillId="0" borderId="17" xfId="2" applyNumberFormat="1" applyFont="1" applyBorder="1"/>
    <xf numFmtId="0" fontId="5" fillId="0" borderId="9" xfId="0" applyFont="1" applyBorder="1" applyAlignment="1">
      <alignment horizontal="right"/>
    </xf>
    <xf numFmtId="165" fontId="5" fillId="0" borderId="11" xfId="0" applyNumberFormat="1" applyFont="1" applyBorder="1"/>
    <xf numFmtId="165" fontId="5" fillId="4" borderId="11" xfId="0" applyNumberFormat="1" applyFont="1" applyFill="1" applyBorder="1"/>
    <xf numFmtId="165" fontId="4" fillId="4" borderId="11" xfId="0" applyNumberFormat="1" applyFont="1" applyFill="1" applyBorder="1"/>
    <xf numFmtId="165" fontId="4" fillId="0" borderId="11" xfId="0" applyNumberFormat="1" applyFont="1" applyBorder="1"/>
    <xf numFmtId="166" fontId="4" fillId="0" borderId="11" xfId="0" applyNumberFormat="1" applyFont="1" applyBorder="1"/>
    <xf numFmtId="0" fontId="4" fillId="0" borderId="13" xfId="0" applyFont="1" applyBorder="1"/>
    <xf numFmtId="0" fontId="4" fillId="0" borderId="14" xfId="0" applyFont="1" applyBorder="1"/>
    <xf numFmtId="2" fontId="4" fillId="0" borderId="14" xfId="0" applyNumberFormat="1" applyFont="1" applyBorder="1"/>
    <xf numFmtId="43" fontId="4" fillId="0" borderId="14" xfId="2" applyFont="1" applyBorder="1"/>
    <xf numFmtId="10" fontId="6" fillId="4" borderId="1" xfId="0" applyNumberFormat="1" applyFont="1" applyFill="1" applyBorder="1" applyAlignment="1">
      <alignment horizontal="right"/>
    </xf>
    <xf numFmtId="0" fontId="5" fillId="0" borderId="18" xfId="0" applyFont="1" applyBorder="1" applyAlignment="1">
      <alignment horizontal="center"/>
    </xf>
    <xf numFmtId="43" fontId="5" fillId="0" borderId="3" xfId="2" applyFont="1" applyBorder="1"/>
    <xf numFmtId="43" fontId="5" fillId="4" borderId="3" xfId="2" applyFont="1" applyFill="1" applyBorder="1"/>
    <xf numFmtId="43" fontId="4" fillId="4" borderId="3" xfId="2" applyFont="1" applyFill="1" applyBorder="1"/>
    <xf numFmtId="43" fontId="4" fillId="0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167" fontId="4" fillId="4" borderId="3" xfId="0" applyNumberFormat="1" applyFont="1" applyFill="1" applyBorder="1"/>
    <xf numFmtId="43" fontId="4" fillId="0" borderId="17" xfId="2" applyFont="1" applyBorder="1"/>
    <xf numFmtId="43" fontId="5" fillId="0" borderId="1" xfId="0" applyNumberFormat="1" applyFont="1" applyBorder="1"/>
    <xf numFmtId="43" fontId="5" fillId="0" borderId="5" xfId="2" applyFont="1" applyBorder="1"/>
    <xf numFmtId="0" fontId="5" fillId="0" borderId="1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0" fillId="0" borderId="7" xfId="0" applyBorder="1"/>
    <xf numFmtId="0" fontId="0" fillId="0" borderId="19" xfId="0" applyBorder="1"/>
    <xf numFmtId="0" fontId="18" fillId="0" borderId="7" xfId="0" applyFont="1" applyBorder="1"/>
    <xf numFmtId="0" fontId="0" fillId="6" borderId="0" xfId="0" applyFill="1"/>
    <xf numFmtId="167" fontId="0" fillId="0" borderId="7" xfId="2" applyNumberFormat="1" applyFont="1" applyFill="1" applyBorder="1"/>
    <xf numFmtId="167" fontId="0" fillId="0" borderId="7" xfId="2" applyNumberFormat="1" applyFont="1" applyBorder="1"/>
    <xf numFmtId="167" fontId="0" fillId="0" borderId="19" xfId="2" applyNumberFormat="1" applyFont="1" applyBorder="1"/>
    <xf numFmtId="0" fontId="0" fillId="5" borderId="0" xfId="0" applyFill="1"/>
    <xf numFmtId="167" fontId="0" fillId="0" borderId="7" xfId="2" applyNumberFormat="1" applyFont="1" applyFill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43" fontId="0" fillId="0" borderId="7" xfId="2" applyFont="1" applyBorder="1" applyAlignment="1">
      <alignment horizontal="right"/>
    </xf>
    <xf numFmtId="10" fontId="3" fillId="6" borderId="7" xfId="1" applyNumberFormat="1" applyFont="1" applyFill="1" applyBorder="1"/>
    <xf numFmtId="10" fontId="3" fillId="0" borderId="7" xfId="1" applyNumberFormat="1" applyFont="1" applyFill="1" applyBorder="1"/>
    <xf numFmtId="10" fontId="3" fillId="5" borderId="7" xfId="1" applyNumberFormat="1" applyFont="1" applyFill="1" applyBorder="1"/>
    <xf numFmtId="10" fontId="3" fillId="0" borderId="7" xfId="1" applyNumberFormat="1" applyFont="1" applyBorder="1"/>
    <xf numFmtId="10" fontId="3" fillId="7" borderId="7" xfId="1" applyNumberFormat="1" applyFont="1" applyFill="1" applyBorder="1"/>
    <xf numFmtId="0" fontId="0" fillId="6" borderId="7" xfId="0" applyFill="1" applyBorder="1"/>
    <xf numFmtId="0" fontId="0" fillId="7" borderId="7" xfId="0" applyFill="1" applyBorder="1"/>
    <xf numFmtId="43" fontId="0" fillId="0" borderId="7" xfId="2" applyFont="1" applyBorder="1"/>
    <xf numFmtId="43" fontId="0" fillId="0" borderId="19" xfId="2" applyFont="1" applyBorder="1"/>
    <xf numFmtId="167" fontId="11" fillId="0" borderId="7" xfId="2" applyNumberFormat="1" applyFont="1" applyFill="1" applyBorder="1"/>
    <xf numFmtId="1" fontId="0" fillId="0" borderId="0" xfId="0" applyNumberFormat="1"/>
    <xf numFmtId="2" fontId="11" fillId="7" borderId="7" xfId="0" applyNumberFormat="1" applyFont="1" applyFill="1" applyBorder="1"/>
    <xf numFmtId="2" fontId="11" fillId="0" borderId="7" xfId="0" applyNumberFormat="1" applyFont="1" applyBorder="1"/>
    <xf numFmtId="10" fontId="0" fillId="0" borderId="7" xfId="1" applyNumberFormat="1" applyFont="1" applyFill="1" applyBorder="1"/>
    <xf numFmtId="2" fontId="0" fillId="0" borderId="7" xfId="2" applyNumberFormat="1" applyFont="1" applyFill="1" applyBorder="1"/>
    <xf numFmtId="2" fontId="0" fillId="5" borderId="7" xfId="0" applyNumberFormat="1" applyFill="1" applyBorder="1"/>
    <xf numFmtId="43" fontId="0" fillId="5" borderId="7" xfId="2" applyFont="1" applyFill="1" applyBorder="1"/>
    <xf numFmtId="43" fontId="0" fillId="0" borderId="7" xfId="2" applyFont="1" applyFill="1" applyBorder="1"/>
    <xf numFmtId="2" fontId="0" fillId="7" borderId="7" xfId="0" applyNumberFormat="1" applyFill="1" applyBorder="1"/>
    <xf numFmtId="2" fontId="0" fillId="0" borderId="7" xfId="0" applyNumberFormat="1" applyBorder="1"/>
    <xf numFmtId="167" fontId="11" fillId="0" borderId="7" xfId="0" applyNumberFormat="1" applyFont="1" applyBorder="1"/>
    <xf numFmtId="10" fontId="11" fillId="7" borderId="7" xfId="1" applyNumberFormat="1" applyFont="1" applyFill="1" applyBorder="1"/>
    <xf numFmtId="10" fontId="11" fillId="0" borderId="7" xfId="1" applyNumberFormat="1" applyFont="1" applyFill="1" applyBorder="1"/>
    <xf numFmtId="167" fontId="11" fillId="0" borderId="7" xfId="1" applyNumberFormat="1" applyFont="1" applyFill="1" applyBorder="1"/>
    <xf numFmtId="2" fontId="0" fillId="0" borderId="7" xfId="1" applyNumberFormat="1" applyFont="1" applyFill="1" applyBorder="1"/>
    <xf numFmtId="2" fontId="0" fillId="0" borderId="7" xfId="1" applyNumberFormat="1" applyFont="1" applyBorder="1"/>
    <xf numFmtId="2" fontId="0" fillId="0" borderId="7" xfId="2" applyNumberFormat="1" applyFont="1" applyBorder="1"/>
    <xf numFmtId="2" fontId="0" fillId="0" borderId="19" xfId="1" applyNumberFormat="1" applyFont="1" applyBorder="1"/>
    <xf numFmtId="2" fontId="0" fillId="0" borderId="19" xfId="2" applyNumberFormat="1" applyFont="1" applyBorder="1"/>
    <xf numFmtId="43" fontId="11" fillId="7" borderId="7" xfId="0" applyNumberFormat="1" applyFont="1" applyFill="1" applyBorder="1"/>
    <xf numFmtId="43" fontId="11" fillId="6" borderId="7" xfId="0" applyNumberFormat="1" applyFont="1" applyFill="1" applyBorder="1"/>
    <xf numFmtId="43" fontId="11" fillId="0" borderId="7" xfId="0" applyNumberFormat="1" applyFont="1" applyBorder="1"/>
    <xf numFmtId="2" fontId="11" fillId="6" borderId="7" xfId="0" applyNumberFormat="1" applyFont="1" applyFill="1" applyBorder="1"/>
    <xf numFmtId="0" fontId="0" fillId="0" borderId="2" xfId="0" applyBorder="1"/>
    <xf numFmtId="10" fontId="11" fillId="6" borderId="2" xfId="1" applyNumberFormat="1" applyFont="1" applyFill="1" applyBorder="1"/>
    <xf numFmtId="10" fontId="11" fillId="7" borderId="2" xfId="1" applyNumberFormat="1" applyFont="1" applyFill="1" applyBorder="1"/>
    <xf numFmtId="10" fontId="11" fillId="0" borderId="2" xfId="1" applyNumberFormat="1" applyFont="1" applyFill="1" applyBorder="1"/>
    <xf numFmtId="169" fontId="0" fillId="0" borderId="0" xfId="0" applyNumberFormat="1"/>
    <xf numFmtId="0" fontId="0" fillId="7" borderId="0" xfId="0" applyFill="1"/>
    <xf numFmtId="10" fontId="0" fillId="7" borderId="7" xfId="1" applyNumberFormat="1" applyFont="1" applyFill="1" applyBorder="1"/>
    <xf numFmtId="0" fontId="8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8" xfId="0" applyFont="1" applyBorder="1"/>
    <xf numFmtId="167" fontId="4" fillId="0" borderId="9" xfId="2" applyNumberFormat="1" applyFont="1" applyFill="1" applyBorder="1"/>
    <xf numFmtId="3" fontId="10" fillId="0" borderId="9" xfId="0" applyNumberFormat="1" applyFont="1" applyBorder="1"/>
    <xf numFmtId="3" fontId="16" fillId="0" borderId="9" xfId="0" applyNumberFormat="1" applyFont="1" applyBorder="1"/>
    <xf numFmtId="0" fontId="5" fillId="0" borderId="12" xfId="0" applyFont="1" applyBorder="1" applyAlignment="1">
      <alignment horizontal="right"/>
    </xf>
    <xf numFmtId="0" fontId="5" fillId="4" borderId="20" xfId="0" applyFont="1" applyFill="1" applyBorder="1"/>
    <xf numFmtId="0" fontId="4" fillId="0" borderId="20" xfId="0" applyFont="1" applyBorder="1"/>
    <xf numFmtId="168" fontId="4" fillId="0" borderId="11" xfId="2" applyNumberFormat="1" applyFont="1" applyBorder="1"/>
    <xf numFmtId="0" fontId="4" fillId="0" borderId="3" xfId="0" applyFont="1" applyBorder="1"/>
    <xf numFmtId="168" fontId="4" fillId="0" borderId="3" xfId="2" applyNumberFormat="1" applyFont="1" applyFill="1" applyBorder="1"/>
    <xf numFmtId="0" fontId="4" fillId="0" borderId="21" xfId="0" applyFont="1" applyBorder="1"/>
    <xf numFmtId="0" fontId="4" fillId="0" borderId="22" xfId="0" applyFont="1" applyBorder="1"/>
    <xf numFmtId="0" fontId="9" fillId="0" borderId="22" xfId="0" applyFont="1" applyBorder="1"/>
    <xf numFmtId="0" fontId="4" fillId="0" borderId="23" xfId="0" applyFont="1" applyBorder="1"/>
    <xf numFmtId="0" fontId="5" fillId="0" borderId="3" xfId="0" applyFont="1" applyBorder="1" applyAlignment="1">
      <alignment horizontal="right"/>
    </xf>
    <xf numFmtId="168" fontId="5" fillId="4" borderId="5" xfId="2" applyNumberFormat="1" applyFont="1" applyFill="1" applyBorder="1"/>
    <xf numFmtId="0" fontId="4" fillId="0" borderId="3" xfId="0" applyFont="1" applyBorder="1" applyAlignment="1">
      <alignment horizontal="right"/>
    </xf>
    <xf numFmtId="43" fontId="5" fillId="0" borderId="10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168" fontId="4" fillId="0" borderId="12" xfId="2" applyNumberFormat="1" applyFont="1" applyFill="1" applyBorder="1"/>
    <xf numFmtId="168" fontId="5" fillId="4" borderId="12" xfId="2" applyNumberFormat="1" applyFont="1" applyFill="1" applyBorder="1"/>
    <xf numFmtId="0" fontId="4" fillId="8" borderId="12" xfId="0" applyFont="1" applyFill="1" applyBorder="1"/>
    <xf numFmtId="10" fontId="5" fillId="4" borderId="12" xfId="0" applyNumberFormat="1" applyFont="1" applyFill="1" applyBorder="1"/>
    <xf numFmtId="168" fontId="4" fillId="8" borderId="12" xfId="2" applyNumberFormat="1" applyFont="1" applyFill="1" applyBorder="1" applyAlignment="1">
      <alignment horizontal="center" vertical="top"/>
    </xf>
    <xf numFmtId="168" fontId="4" fillId="8" borderId="12" xfId="2" applyNumberFormat="1" applyFont="1" applyFill="1" applyBorder="1" applyAlignment="1">
      <alignment horizontal="center"/>
    </xf>
    <xf numFmtId="0" fontId="4" fillId="0" borderId="12" xfId="0" applyFont="1" applyFill="1" applyBorder="1"/>
    <xf numFmtId="10" fontId="6" fillId="4" borderId="12" xfId="0" applyNumberFormat="1" applyFont="1" applyFill="1" applyBorder="1"/>
    <xf numFmtId="10" fontId="5" fillId="4" borderId="12" xfId="1" applyNumberFormat="1" applyFont="1" applyFill="1" applyBorder="1"/>
    <xf numFmtId="0" fontId="5" fillId="4" borderId="12" xfId="0" applyFont="1" applyFill="1" applyBorder="1"/>
    <xf numFmtId="43" fontId="5" fillId="4" borderId="12" xfId="0" applyNumberFormat="1" applyFont="1" applyFill="1" applyBorder="1"/>
    <xf numFmtId="0" fontId="5" fillId="0" borderId="12" xfId="0" applyFont="1" applyFill="1" applyBorder="1"/>
    <xf numFmtId="165" fontId="5" fillId="0" borderId="12" xfId="0" applyNumberFormat="1" applyFont="1" applyFill="1" applyBorder="1"/>
    <xf numFmtId="168" fontId="5" fillId="0" borderId="15" xfId="2" applyNumberFormat="1" applyFont="1" applyFill="1" applyBorder="1"/>
    <xf numFmtId="165" fontId="4" fillId="0" borderId="12" xfId="0" applyNumberFormat="1" applyFont="1" applyFill="1" applyBorder="1"/>
    <xf numFmtId="0" fontId="4" fillId="0" borderId="3" xfId="0" applyFont="1" applyFill="1" applyBorder="1"/>
    <xf numFmtId="168" fontId="5" fillId="4" borderId="15" xfId="2" applyNumberFormat="1" applyFont="1" applyFill="1" applyBorder="1"/>
    <xf numFmtId="168" fontId="4" fillId="4" borderId="12" xfId="2" applyNumberFormat="1" applyFont="1" applyFill="1" applyBorder="1"/>
    <xf numFmtId="43" fontId="5" fillId="4" borderId="12" xfId="2" applyFont="1" applyFill="1" applyBorder="1"/>
    <xf numFmtId="43" fontId="4" fillId="4" borderId="12" xfId="2" applyFont="1" applyFill="1" applyBorder="1"/>
    <xf numFmtId="10" fontId="4" fillId="4" borderId="12" xfId="0" applyNumberFormat="1" applyFont="1" applyFill="1" applyBorder="1"/>
    <xf numFmtId="2" fontId="4" fillId="4" borderId="12" xfId="0" applyNumberFormat="1" applyFont="1" applyFill="1" applyBorder="1"/>
    <xf numFmtId="43" fontId="5" fillId="0" borderId="12" xfId="2" applyFont="1" applyFill="1" applyBorder="1"/>
    <xf numFmtId="2" fontId="4" fillId="0" borderId="12" xfId="0" applyNumberFormat="1" applyFont="1" applyFill="1" applyBorder="1"/>
    <xf numFmtId="3" fontId="16" fillId="0" borderId="10" xfId="0" applyNumberFormat="1" applyFont="1" applyFill="1" applyBorder="1"/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4"/>
  <sheetViews>
    <sheetView tabSelected="1" topLeftCell="G49" zoomScale="108" zoomScaleNormal="108" workbookViewId="0">
      <selection activeCell="S61" sqref="S61"/>
    </sheetView>
  </sheetViews>
  <sheetFormatPr defaultColWidth="9.140625" defaultRowHeight="12"/>
  <cols>
    <col min="1" max="1" width="50" style="2" customWidth="1"/>
    <col min="2" max="2" width="8.42578125" style="2" hidden="1" customWidth="1"/>
    <col min="3" max="3" width="10.140625" style="2" hidden="1" customWidth="1"/>
    <col min="4" max="5" width="12.42578125" style="2" hidden="1" customWidth="1"/>
    <col min="6" max="6" width="12.42578125" style="2" bestFit="1" customWidth="1"/>
    <col min="7" max="7" width="12.42578125" style="2" customWidth="1"/>
    <col min="8" max="8" width="12.42578125" style="2" bestFit="1" customWidth="1"/>
    <col min="9" max="9" width="12.42578125" style="2" customWidth="1"/>
    <col min="10" max="10" width="12.140625" style="2" bestFit="1" customWidth="1"/>
    <col min="11" max="11" width="11.28515625" style="2" bestFit="1" customWidth="1"/>
    <col min="12" max="12" width="1.85546875" style="2" customWidth="1"/>
    <col min="13" max="13" width="42.5703125" style="2" customWidth="1"/>
    <col min="14" max="14" width="13.85546875" style="2" hidden="1" customWidth="1"/>
    <col min="15" max="15" width="10.42578125" style="2" hidden="1" customWidth="1"/>
    <col min="16" max="16" width="13" style="2" hidden="1" customWidth="1"/>
    <col min="17" max="17" width="11.42578125" style="2" hidden="1" customWidth="1"/>
    <col min="18" max="18" width="11.42578125" style="3" bestFit="1" customWidth="1"/>
    <col min="19" max="20" width="10.42578125" style="2" bestFit="1" customWidth="1"/>
    <col min="21" max="22" width="10.42578125" style="2" customWidth="1"/>
    <col min="23" max="23" width="9.42578125" style="2" customWidth="1"/>
    <col min="24" max="16384" width="9.140625" style="2"/>
  </cols>
  <sheetData>
    <row r="1" spans="1:23" ht="15.75" thickBot="1">
      <c r="A1" s="192" t="s">
        <v>171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ht="14.45" customHeight="1">
      <c r="A2" s="190" t="s">
        <v>75</v>
      </c>
      <c r="B2" s="191"/>
      <c r="C2" s="191"/>
      <c r="D2" s="191"/>
      <c r="E2" s="191"/>
      <c r="F2" s="191"/>
      <c r="G2" s="191"/>
      <c r="H2" s="191"/>
      <c r="I2" s="191"/>
      <c r="J2" s="191"/>
      <c r="K2" s="169"/>
      <c r="L2" s="19"/>
      <c r="M2" s="190" t="s">
        <v>74</v>
      </c>
      <c r="N2" s="191"/>
      <c r="O2" s="191"/>
      <c r="P2" s="191"/>
      <c r="Q2" s="191"/>
      <c r="R2" s="191"/>
      <c r="S2" s="191"/>
      <c r="T2" s="191"/>
      <c r="U2" s="191"/>
      <c r="V2" s="191"/>
      <c r="W2" s="194"/>
    </row>
    <row r="3" spans="1:23" ht="15">
      <c r="A3" s="76" t="s">
        <v>167</v>
      </c>
      <c r="B3" s="17" t="s">
        <v>25</v>
      </c>
      <c r="C3" s="17" t="s">
        <v>26</v>
      </c>
      <c r="D3" s="17" t="s">
        <v>27</v>
      </c>
      <c r="E3" s="17" t="s">
        <v>28</v>
      </c>
      <c r="F3" s="17" t="s">
        <v>69</v>
      </c>
      <c r="G3" s="17" t="s">
        <v>76</v>
      </c>
      <c r="H3" s="17" t="s">
        <v>108</v>
      </c>
      <c r="I3" s="17" t="s">
        <v>197</v>
      </c>
      <c r="J3" s="17" t="s">
        <v>202</v>
      </c>
      <c r="K3" s="170" t="s">
        <v>253</v>
      </c>
      <c r="L3" s="19"/>
      <c r="M3" s="76" t="s">
        <v>167</v>
      </c>
      <c r="N3" s="4" t="s">
        <v>25</v>
      </c>
      <c r="O3" s="4" t="s">
        <v>26</v>
      </c>
      <c r="P3" s="4" t="s">
        <v>27</v>
      </c>
      <c r="Q3" s="4" t="s">
        <v>28</v>
      </c>
      <c r="R3" s="5" t="s">
        <v>69</v>
      </c>
      <c r="S3" s="4" t="s">
        <v>76</v>
      </c>
      <c r="T3" s="50" t="s">
        <v>108</v>
      </c>
      <c r="U3" s="50" t="s">
        <v>197</v>
      </c>
      <c r="V3" s="186" t="s">
        <v>202</v>
      </c>
      <c r="W3" s="176" t="s">
        <v>253</v>
      </c>
    </row>
    <row r="4" spans="1:23" ht="15">
      <c r="A4" s="76" t="s">
        <v>77</v>
      </c>
      <c r="B4" s="21"/>
      <c r="C4" s="21"/>
      <c r="D4" s="11">
        <v>8745.19</v>
      </c>
      <c r="E4" s="11">
        <v>8398.86</v>
      </c>
      <c r="F4" s="11">
        <v>3946.92</v>
      </c>
      <c r="G4" s="11">
        <v>3943.56</v>
      </c>
      <c r="H4" s="11">
        <v>3423.42</v>
      </c>
      <c r="I4" s="11">
        <v>2616.6</v>
      </c>
      <c r="J4" s="11">
        <f>4068.36+62.59</f>
        <v>4130.95</v>
      </c>
      <c r="K4" s="202">
        <f>4719.32+80.33</f>
        <v>4799.6499999999996</v>
      </c>
      <c r="L4" s="22"/>
      <c r="M4" s="77" t="s">
        <v>78</v>
      </c>
      <c r="N4" s="11"/>
      <c r="O4" s="11"/>
      <c r="P4" s="51">
        <v>111.69</v>
      </c>
      <c r="Q4" s="11">
        <v>111.69</v>
      </c>
      <c r="R4" s="11">
        <v>111.69</v>
      </c>
      <c r="S4" s="11">
        <v>111.69</v>
      </c>
      <c r="T4" s="11">
        <v>111.69</v>
      </c>
      <c r="U4" s="11">
        <v>111.69</v>
      </c>
      <c r="V4" s="23">
        <v>111.69</v>
      </c>
      <c r="W4" s="216">
        <v>111.69</v>
      </c>
    </row>
    <row r="5" spans="1:23" ht="15">
      <c r="A5" s="77" t="s">
        <v>5</v>
      </c>
      <c r="B5" s="11"/>
      <c r="C5" s="11"/>
      <c r="D5" s="11">
        <v>55.4</v>
      </c>
      <c r="E5" s="11">
        <v>74.38</v>
      </c>
      <c r="F5" s="11">
        <v>45.7</v>
      </c>
      <c r="G5" s="11">
        <v>109.78</v>
      </c>
      <c r="H5" s="11">
        <v>35.21</v>
      </c>
      <c r="I5">
        <v>61.6</v>
      </c>
      <c r="J5" s="11">
        <v>43.06</v>
      </c>
      <c r="K5" s="202">
        <v>27.52</v>
      </c>
      <c r="M5" s="77" t="s">
        <v>79</v>
      </c>
      <c r="N5" s="11"/>
      <c r="O5" s="11"/>
      <c r="P5" s="51">
        <v>2252.06</v>
      </c>
      <c r="Q5" s="11">
        <v>2370.17</v>
      </c>
      <c r="R5" s="11">
        <v>2636.2</v>
      </c>
      <c r="S5" s="11">
        <v>3182.4</v>
      </c>
      <c r="T5" s="11">
        <v>3367.8</v>
      </c>
      <c r="U5" s="11">
        <v>3392.67</v>
      </c>
      <c r="V5" s="23">
        <v>3607.13</v>
      </c>
      <c r="W5" s="216">
        <v>3775.14</v>
      </c>
    </row>
    <row r="6" spans="1:23">
      <c r="A6" s="82" t="s">
        <v>110</v>
      </c>
      <c r="B6" s="10">
        <f t="shared" ref="B6:K6" si="0">B4+B5</f>
        <v>0</v>
      </c>
      <c r="C6" s="10">
        <f t="shared" si="0"/>
        <v>0</v>
      </c>
      <c r="D6" s="10">
        <f t="shared" si="0"/>
        <v>8800.59</v>
      </c>
      <c r="E6" s="10">
        <f t="shared" si="0"/>
        <v>8473.24</v>
      </c>
      <c r="F6" s="10">
        <f t="shared" si="0"/>
        <v>3992.62</v>
      </c>
      <c r="G6" s="10">
        <f t="shared" si="0"/>
        <v>4053.34</v>
      </c>
      <c r="H6" s="10">
        <f t="shared" si="0"/>
        <v>3458.63</v>
      </c>
      <c r="I6" s="10">
        <f t="shared" si="0"/>
        <v>2678.2</v>
      </c>
      <c r="J6" s="10">
        <f t="shared" si="0"/>
        <v>4174.01</v>
      </c>
      <c r="K6" s="203">
        <f t="shared" si="0"/>
        <v>4827.17</v>
      </c>
      <c r="L6" s="48"/>
      <c r="M6" s="82" t="s">
        <v>29</v>
      </c>
      <c r="N6" s="10">
        <f t="shared" ref="N6:U6" si="1">(N4+N5)</f>
        <v>0</v>
      </c>
      <c r="O6" s="10">
        <f t="shared" si="1"/>
        <v>0</v>
      </c>
      <c r="P6" s="10">
        <f t="shared" si="1"/>
        <v>2363.75</v>
      </c>
      <c r="Q6" s="10">
        <f t="shared" si="1"/>
        <v>2481.86</v>
      </c>
      <c r="R6" s="10">
        <f t="shared" si="1"/>
        <v>2747.89</v>
      </c>
      <c r="S6" s="10">
        <f t="shared" si="1"/>
        <v>3294.09</v>
      </c>
      <c r="T6" s="10">
        <f t="shared" si="1"/>
        <v>3479.4900000000002</v>
      </c>
      <c r="U6" s="10">
        <f t="shared" si="1"/>
        <v>3504.36</v>
      </c>
      <c r="V6" s="18">
        <f t="shared" ref="V6:W6" si="2">(V4+V5)</f>
        <v>3718.82</v>
      </c>
      <c r="W6" s="203">
        <f t="shared" si="2"/>
        <v>3886.83</v>
      </c>
    </row>
    <row r="7" spans="1:23">
      <c r="A7" s="85" t="s">
        <v>1</v>
      </c>
      <c r="B7" s="12"/>
      <c r="C7" s="12" t="e">
        <f>(C6/B6-1)</f>
        <v>#DIV/0!</v>
      </c>
      <c r="D7" s="12" t="s">
        <v>183</v>
      </c>
      <c r="E7" s="12">
        <f t="shared" ref="E7:K7" si="3">(E6/D6-1)</f>
        <v>-3.7196369788843775E-2</v>
      </c>
      <c r="F7" s="12">
        <f t="shared" si="3"/>
        <v>-0.52879654063852788</v>
      </c>
      <c r="G7" s="12">
        <f t="shared" si="3"/>
        <v>1.5208058868612762E-2</v>
      </c>
      <c r="H7" s="12">
        <f t="shared" si="3"/>
        <v>-0.1467209757878688</v>
      </c>
      <c r="I7" s="12">
        <f t="shared" si="3"/>
        <v>-0.22564714930478258</v>
      </c>
      <c r="J7" s="12">
        <f t="shared" si="3"/>
        <v>0.55851318049436216</v>
      </c>
      <c r="K7" s="12">
        <f t="shared" si="3"/>
        <v>0.15648261503925487</v>
      </c>
      <c r="M7" s="77" t="s">
        <v>182</v>
      </c>
      <c r="N7" s="11"/>
      <c r="O7" s="11"/>
      <c r="P7" s="11"/>
      <c r="Q7" s="11"/>
      <c r="R7" s="23"/>
      <c r="S7" s="11"/>
      <c r="T7" s="11">
        <v>132.09</v>
      </c>
      <c r="U7" s="11">
        <v>143.03</v>
      </c>
      <c r="V7" s="23">
        <v>158.03</v>
      </c>
      <c r="W7" s="216">
        <v>152.12</v>
      </c>
    </row>
    <row r="8" spans="1:23" ht="15">
      <c r="A8" s="85" t="s">
        <v>80</v>
      </c>
      <c r="B8" s="12"/>
      <c r="C8" s="12"/>
      <c r="D8" s="12"/>
      <c r="E8" s="12"/>
      <c r="F8" s="12"/>
      <c r="G8" s="12">
        <f>+((G6/D6)^(1/3)-1)</f>
        <v>-0.22773370291672612</v>
      </c>
      <c r="H8" s="12">
        <f>+((H6/E6)^(1/3)-1)</f>
        <v>-0.25820335376954906</v>
      </c>
      <c r="I8" s="12">
        <f>+((I6/F6)^(1/3)-1)</f>
        <v>-0.12462324659653456</v>
      </c>
      <c r="J8" s="12">
        <f>+((J6/G6)^(1/3)-1)</f>
        <v>9.826624570203224E-3</v>
      </c>
      <c r="K8" s="12">
        <f>+((K6/H6)^(1/3)-1)</f>
        <v>0.1175393647059304</v>
      </c>
      <c r="M8" s="77" t="s">
        <v>31</v>
      </c>
      <c r="N8" s="11"/>
      <c r="O8" s="11"/>
      <c r="P8">
        <v>3283.03</v>
      </c>
      <c r="Q8" s="11">
        <v>3125.95</v>
      </c>
      <c r="R8" s="11">
        <v>2392.42</v>
      </c>
      <c r="S8" s="11">
        <v>701.58</v>
      </c>
      <c r="T8" s="11">
        <v>549.91999999999996</v>
      </c>
      <c r="U8" s="11">
        <v>864.97</v>
      </c>
      <c r="V8" s="23">
        <v>381.82</v>
      </c>
      <c r="W8" s="216">
        <v>399.09</v>
      </c>
    </row>
    <row r="9" spans="1:23">
      <c r="A9" s="82" t="s">
        <v>2</v>
      </c>
      <c r="B9" s="10">
        <f t="shared" ref="B9:G9" si="4">SUM(B10:B15)</f>
        <v>0</v>
      </c>
      <c r="C9" s="10">
        <f t="shared" si="4"/>
        <v>0</v>
      </c>
      <c r="D9" s="10">
        <f t="shared" si="4"/>
        <v>8072.3799999999992</v>
      </c>
      <c r="E9" s="10">
        <f t="shared" si="4"/>
        <v>7468.55</v>
      </c>
      <c r="F9" s="10">
        <f t="shared" si="4"/>
        <v>3141.44</v>
      </c>
      <c r="G9" s="10">
        <f t="shared" si="4"/>
        <v>2992.4100000000003</v>
      </c>
      <c r="H9" s="10">
        <f>SUM(H10:H15)</f>
        <v>2858.5700000000006</v>
      </c>
      <c r="I9" s="10">
        <v>2392.9</v>
      </c>
      <c r="J9" s="10">
        <f>SUM(J10:J15)</f>
        <v>3686.4399999999996</v>
      </c>
      <c r="K9" s="203">
        <f>SUM(K10:K15)</f>
        <v>4272.32</v>
      </c>
      <c r="M9" s="77" t="s">
        <v>32</v>
      </c>
      <c r="N9" s="11"/>
      <c r="O9" s="11"/>
      <c r="P9" s="11">
        <v>1419.21</v>
      </c>
      <c r="Q9" s="11">
        <v>1587.85</v>
      </c>
      <c r="R9" s="11">
        <v>1462.57</v>
      </c>
      <c r="S9" s="11">
        <v>200.44</v>
      </c>
      <c r="T9" s="11">
        <v>33.840000000000003</v>
      </c>
      <c r="U9" s="11">
        <v>8.48</v>
      </c>
      <c r="V9" s="23">
        <v>933.74</v>
      </c>
      <c r="W9" s="216">
        <v>638.62</v>
      </c>
    </row>
    <row r="10" spans="1:23">
      <c r="A10" s="77" t="s">
        <v>81</v>
      </c>
      <c r="B10" s="6"/>
      <c r="C10" s="6"/>
      <c r="D10" s="6">
        <v>2711.57</v>
      </c>
      <c r="E10" s="6">
        <v>2428.5300000000002</v>
      </c>
      <c r="F10" s="6">
        <v>1695.56</v>
      </c>
      <c r="G10" s="6">
        <v>1864.81</v>
      </c>
      <c r="H10" s="6">
        <v>1755.42</v>
      </c>
      <c r="I10" s="6">
        <v>1317.51</v>
      </c>
      <c r="J10" s="6">
        <v>2276.31</v>
      </c>
      <c r="K10" s="204">
        <v>2731.37</v>
      </c>
      <c r="M10" s="82" t="s">
        <v>33</v>
      </c>
      <c r="N10" s="10">
        <f t="shared" ref="N10:U10" si="5">(N8+N9)</f>
        <v>0</v>
      </c>
      <c r="O10" s="10">
        <f t="shared" si="5"/>
        <v>0</v>
      </c>
      <c r="P10" s="10">
        <f t="shared" si="5"/>
        <v>4702.24</v>
      </c>
      <c r="Q10" s="10">
        <f t="shared" si="5"/>
        <v>4713.7999999999993</v>
      </c>
      <c r="R10" s="10">
        <f t="shared" si="5"/>
        <v>3854.99</v>
      </c>
      <c r="S10" s="10">
        <f t="shared" si="5"/>
        <v>902.02</v>
      </c>
      <c r="T10" s="10">
        <f t="shared" si="5"/>
        <v>583.76</v>
      </c>
      <c r="U10" s="10">
        <f t="shared" si="5"/>
        <v>873.45</v>
      </c>
      <c r="V10" s="18">
        <f t="shared" ref="V10:W10" si="6">(V8+V9)</f>
        <v>1315.56</v>
      </c>
      <c r="W10" s="203">
        <f t="shared" si="6"/>
        <v>1037.71</v>
      </c>
    </row>
    <row r="11" spans="1:23">
      <c r="A11" s="77" t="s">
        <v>142</v>
      </c>
      <c r="B11" s="6"/>
      <c r="C11" s="6"/>
      <c r="D11" s="6">
        <v>9.32</v>
      </c>
      <c r="E11" s="6">
        <v>0.68</v>
      </c>
      <c r="F11" s="6">
        <v>2.69</v>
      </c>
      <c r="G11" s="6">
        <v>11.72</v>
      </c>
      <c r="H11" s="6">
        <v>48.22</v>
      </c>
      <c r="I11" s="6">
        <v>79.47</v>
      </c>
      <c r="J11" s="6">
        <v>223.58</v>
      </c>
      <c r="K11" s="204">
        <v>44.8</v>
      </c>
      <c r="M11" s="82" t="s">
        <v>34</v>
      </c>
      <c r="N11" s="10">
        <f>(N6+N8+N7+N56+N53+N54)</f>
        <v>0</v>
      </c>
      <c r="O11" s="10">
        <f>(O6+O8+O7+O56+O53+O54)</f>
        <v>0</v>
      </c>
      <c r="P11" s="10">
        <f t="shared" ref="P11:Q11" si="7">P6+P10+P7</f>
        <v>7065.99</v>
      </c>
      <c r="Q11" s="10">
        <f t="shared" si="7"/>
        <v>7195.66</v>
      </c>
      <c r="R11" s="10">
        <f t="shared" ref="R11:W11" si="8">R6+R8+R7+SUM(R53:R57)</f>
        <v>6275.4599999999991</v>
      </c>
      <c r="S11" s="10">
        <f t="shared" si="8"/>
        <v>4880.76</v>
      </c>
      <c r="T11" s="10">
        <f t="shared" si="8"/>
        <v>4866.01</v>
      </c>
      <c r="U11" s="10">
        <f t="shared" si="8"/>
        <v>5202.37</v>
      </c>
      <c r="V11" s="18">
        <f t="shared" si="8"/>
        <v>4897.0300000000007</v>
      </c>
      <c r="W11" s="203">
        <f t="shared" si="8"/>
        <v>5072.82</v>
      </c>
    </row>
    <row r="12" spans="1:23">
      <c r="A12" s="77" t="s">
        <v>143</v>
      </c>
      <c r="B12" s="6"/>
      <c r="C12" s="6"/>
      <c r="D12" s="6">
        <v>51.72</v>
      </c>
      <c r="E12" s="6">
        <v>77.45</v>
      </c>
      <c r="F12" s="6">
        <v>-24.6</v>
      </c>
      <c r="G12" s="6">
        <v>-10.78</v>
      </c>
      <c r="H12" s="6">
        <v>-35.340000000000003</v>
      </c>
      <c r="I12" s="6">
        <v>46.17</v>
      </c>
      <c r="J12" s="6">
        <v>-58.1</v>
      </c>
      <c r="K12" s="204">
        <v>-58.75</v>
      </c>
      <c r="M12" s="76"/>
      <c r="N12" s="9"/>
      <c r="O12" s="9"/>
      <c r="P12" s="9"/>
      <c r="Q12" s="9"/>
      <c r="R12" s="9"/>
      <c r="S12" s="9"/>
      <c r="T12" s="9"/>
      <c r="U12" s="9"/>
      <c r="V12" s="35"/>
      <c r="W12" s="171"/>
    </row>
    <row r="13" spans="1:23">
      <c r="A13" s="77" t="s">
        <v>57</v>
      </c>
      <c r="B13" s="6"/>
      <c r="C13" s="6"/>
      <c r="D13" s="6">
        <v>646.37</v>
      </c>
      <c r="E13" s="6">
        <v>637.16999999999996</v>
      </c>
      <c r="F13" s="6">
        <v>412.39</v>
      </c>
      <c r="G13" s="6">
        <v>275.58999999999997</v>
      </c>
      <c r="H13" s="6">
        <v>302.01</v>
      </c>
      <c r="I13" s="6">
        <v>281.24</v>
      </c>
      <c r="J13" s="6">
        <v>323.64</v>
      </c>
      <c r="K13" s="204">
        <v>344.83</v>
      </c>
      <c r="M13" s="77"/>
      <c r="N13" s="24"/>
      <c r="O13" s="24"/>
      <c r="P13" s="24">
        <f>P11-P12</f>
        <v>7065.99</v>
      </c>
      <c r="Q13" s="24">
        <f>Q11-Q12</f>
        <v>7195.66</v>
      </c>
      <c r="R13" s="24"/>
      <c r="S13" s="24"/>
      <c r="T13" s="8"/>
      <c r="U13" s="8"/>
      <c r="V13" s="105"/>
      <c r="W13" s="171"/>
    </row>
    <row r="14" spans="1:23">
      <c r="A14" s="77" t="s">
        <v>59</v>
      </c>
      <c r="B14" s="6"/>
      <c r="C14" s="6"/>
      <c r="D14" s="6">
        <v>3875.17</v>
      </c>
      <c r="E14" s="6">
        <v>3570.61</v>
      </c>
      <c r="F14" s="6">
        <v>1006.27</v>
      </c>
      <c r="G14" s="6">
        <v>851.07</v>
      </c>
      <c r="H14" s="6">
        <v>788.26</v>
      </c>
      <c r="I14" s="6">
        <v>668.48</v>
      </c>
      <c r="J14" s="6">
        <v>921.01</v>
      </c>
      <c r="K14" s="204">
        <f>91.31+680.61+99.17+338.98</f>
        <v>1210.0700000000002</v>
      </c>
      <c r="M14" s="177" t="s">
        <v>186</v>
      </c>
      <c r="N14" s="54"/>
      <c r="O14" s="54"/>
      <c r="P14" s="63">
        <f t="shared" ref="P14:W14" si="9">SUM(P15:P29)</f>
        <v>8028.05</v>
      </c>
      <c r="Q14" s="63">
        <f t="shared" si="9"/>
        <v>8081.89</v>
      </c>
      <c r="R14" s="63">
        <f t="shared" si="9"/>
        <v>7972.0700000000015</v>
      </c>
      <c r="S14" s="63">
        <f t="shared" si="9"/>
        <v>5063.9600000000009</v>
      </c>
      <c r="T14" s="63">
        <f t="shared" si="9"/>
        <v>4943.49</v>
      </c>
      <c r="U14" s="63">
        <f t="shared" si="9"/>
        <v>4695.1300000000019</v>
      </c>
      <c r="V14" s="187">
        <f t="shared" si="9"/>
        <v>4749.449999999998</v>
      </c>
      <c r="W14" s="203">
        <f t="shared" si="9"/>
        <v>4525.16</v>
      </c>
    </row>
    <row r="15" spans="1:23">
      <c r="A15" s="77" t="s">
        <v>84</v>
      </c>
      <c r="B15" s="6"/>
      <c r="C15" s="6"/>
      <c r="D15" s="6">
        <v>778.23</v>
      </c>
      <c r="E15" s="6">
        <v>754.11</v>
      </c>
      <c r="F15" s="6">
        <v>49.13</v>
      </c>
      <c r="G15" s="6"/>
      <c r="H15" s="6"/>
      <c r="I15" s="6"/>
      <c r="J15" s="6"/>
      <c r="K15" s="204"/>
      <c r="M15" s="77" t="s">
        <v>85</v>
      </c>
      <c r="N15" s="6"/>
      <c r="O15" s="6"/>
      <c r="P15" s="6">
        <v>6331.86</v>
      </c>
      <c r="Q15" s="6">
        <v>6202.17</v>
      </c>
      <c r="R15" s="6">
        <v>6115.39</v>
      </c>
      <c r="S15" s="6">
        <v>3496.13</v>
      </c>
      <c r="T15" s="6">
        <v>3386.94</v>
      </c>
      <c r="U15" s="6">
        <v>3270.6</v>
      </c>
      <c r="V15" s="67">
        <v>3212.77</v>
      </c>
      <c r="W15" s="216">
        <v>3111.65</v>
      </c>
    </row>
    <row r="16" spans="1:23">
      <c r="A16" s="82" t="s">
        <v>3</v>
      </c>
      <c r="B16" s="10">
        <f>(B6-B9)</f>
        <v>0</v>
      </c>
      <c r="C16" s="10">
        <f>(C6-C9)</f>
        <v>0</v>
      </c>
      <c r="D16" s="10">
        <f t="shared" ref="D16:F16" si="10">(D6-D9)</f>
        <v>728.21000000000095</v>
      </c>
      <c r="E16" s="10">
        <f t="shared" si="10"/>
        <v>1004.6899999999996</v>
      </c>
      <c r="F16" s="10">
        <f t="shared" si="10"/>
        <v>851.17999999999984</v>
      </c>
      <c r="G16" s="10">
        <f>(G6-G9)</f>
        <v>1060.9299999999998</v>
      </c>
      <c r="H16" s="10">
        <f t="shared" ref="H16:K16" si="11">(H6-H9)</f>
        <v>600.05999999999949</v>
      </c>
      <c r="I16" s="10">
        <v>285.3</v>
      </c>
      <c r="J16" s="10">
        <f t="shared" si="11"/>
        <v>487.57000000000062</v>
      </c>
      <c r="K16" s="203">
        <f t="shared" si="11"/>
        <v>554.85000000000036</v>
      </c>
      <c r="M16" s="77" t="s">
        <v>86</v>
      </c>
      <c r="N16" s="6"/>
      <c r="O16" s="6"/>
      <c r="P16" s="6">
        <v>70.209999999999994</v>
      </c>
      <c r="Q16" s="6">
        <v>34.19</v>
      </c>
      <c r="R16" s="6">
        <v>34.270000000000003</v>
      </c>
      <c r="S16" s="6">
        <v>43.8</v>
      </c>
      <c r="T16" s="6">
        <v>139.71</v>
      </c>
      <c r="U16" s="6">
        <v>172.64</v>
      </c>
      <c r="V16" s="67">
        <v>173.9</v>
      </c>
      <c r="W16" s="216">
        <v>189.63</v>
      </c>
    </row>
    <row r="17" spans="1:23">
      <c r="A17" s="85" t="s">
        <v>1</v>
      </c>
      <c r="B17" s="12"/>
      <c r="C17" s="12" t="e">
        <f t="shared" ref="C17:K17" si="12">(C16/B16-1)</f>
        <v>#DIV/0!</v>
      </c>
      <c r="D17" s="12"/>
      <c r="E17" s="12">
        <f>(E16/D16-1)</f>
        <v>0.37967069938616382</v>
      </c>
      <c r="F17" s="12">
        <f t="shared" si="12"/>
        <v>-0.15279339895888266</v>
      </c>
      <c r="G17" s="12">
        <f t="shared" si="12"/>
        <v>0.24642261331328275</v>
      </c>
      <c r="H17" s="12">
        <f t="shared" si="12"/>
        <v>-0.43440189267906504</v>
      </c>
      <c r="I17" s="12">
        <f t="shared" si="12"/>
        <v>-0.52454754524547509</v>
      </c>
      <c r="J17" s="12">
        <f t="shared" si="12"/>
        <v>0.70897301086575748</v>
      </c>
      <c r="K17" s="12">
        <f t="shared" si="12"/>
        <v>0.13799044239801406</v>
      </c>
      <c r="M17" s="77" t="s">
        <v>128</v>
      </c>
      <c r="N17" s="6"/>
      <c r="O17" s="6"/>
      <c r="P17" s="6">
        <v>989.81</v>
      </c>
      <c r="Q17" s="6">
        <v>980.37</v>
      </c>
      <c r="R17" s="6">
        <v>959.55</v>
      </c>
      <c r="S17" s="6">
        <v>931.74</v>
      </c>
      <c r="T17" s="6">
        <v>897.43</v>
      </c>
      <c r="U17" s="6">
        <v>860.77</v>
      </c>
      <c r="V17" s="67">
        <v>838.73</v>
      </c>
      <c r="W17" s="216">
        <v>796.61</v>
      </c>
    </row>
    <row r="18" spans="1:23">
      <c r="A18" s="85" t="s">
        <v>80</v>
      </c>
      <c r="B18" s="12"/>
      <c r="C18" s="12"/>
      <c r="D18" s="12"/>
      <c r="E18" s="12"/>
      <c r="F18" s="12"/>
      <c r="G18" s="12">
        <f>+((G16/D16)^(1/3)-1)</f>
        <v>0.13364400895257877</v>
      </c>
      <c r="H18" s="12">
        <f>+((H16/E16)^(1/3)-1)</f>
        <v>-0.15785372368969441</v>
      </c>
      <c r="I18" s="12">
        <f>+((I16/F16)^(1/3)-1)</f>
        <v>-0.3053594684061699</v>
      </c>
      <c r="J18" s="12">
        <f>+((J16/G16)^(1/3)-1)</f>
        <v>-0.22829718959556577</v>
      </c>
      <c r="K18" s="12">
        <f>+((K16/H16)^(1/3)-1)</f>
        <v>-2.5772679944747079E-2</v>
      </c>
      <c r="M18" s="77" t="s">
        <v>129</v>
      </c>
      <c r="N18" s="6"/>
      <c r="O18" s="6"/>
      <c r="P18" s="6">
        <v>39.56</v>
      </c>
      <c r="Q18" s="6">
        <v>124.11</v>
      </c>
      <c r="R18" s="6">
        <v>176.54</v>
      </c>
      <c r="S18" s="6">
        <v>230.72</v>
      </c>
      <c r="T18" s="6">
        <v>36.4</v>
      </c>
      <c r="U18" s="6">
        <v>36.799999999999997</v>
      </c>
      <c r="V18" s="67">
        <v>36.22</v>
      </c>
      <c r="W18" s="216">
        <v>36.409999999999997</v>
      </c>
    </row>
    <row r="19" spans="1:23">
      <c r="A19" s="82" t="s">
        <v>4</v>
      </c>
      <c r="B19" s="29" t="e">
        <f>(B16/B6)</f>
        <v>#DIV/0!</v>
      </c>
      <c r="C19" s="29" t="e">
        <f>(C16/C6)</f>
        <v>#DIV/0!</v>
      </c>
      <c r="D19" s="29">
        <f t="shared" ref="D19:J19" si="13">(D16/D4)</f>
        <v>8.3269774584657494E-2</v>
      </c>
      <c r="E19" s="29">
        <f t="shared" si="13"/>
        <v>0.11962218682059227</v>
      </c>
      <c r="F19" s="29">
        <f t="shared" si="13"/>
        <v>0.21565676527520189</v>
      </c>
      <c r="G19" s="29">
        <f t="shared" si="13"/>
        <v>0.26902849202243656</v>
      </c>
      <c r="H19" s="29">
        <f t="shared" si="13"/>
        <v>0.17528085949138567</v>
      </c>
      <c r="I19" s="29">
        <f t="shared" si="13"/>
        <v>0.10903462508598946</v>
      </c>
      <c r="J19" s="29">
        <f t="shared" si="13"/>
        <v>0.11802854065045586</v>
      </c>
      <c r="K19" s="205">
        <f>(K16/K4)</f>
        <v>0.11560217932557591</v>
      </c>
      <c r="M19" s="77" t="s">
        <v>130</v>
      </c>
      <c r="N19" s="6"/>
      <c r="O19" s="6"/>
      <c r="P19" s="6">
        <v>2.63</v>
      </c>
      <c r="Q19" s="6">
        <v>2.75</v>
      </c>
      <c r="R19" s="6">
        <v>4.0599999999999996</v>
      </c>
      <c r="S19" s="6">
        <v>2.58</v>
      </c>
      <c r="T19" s="6">
        <v>8.92</v>
      </c>
      <c r="U19" s="6">
        <v>7.84</v>
      </c>
      <c r="V19" s="67">
        <v>7.11</v>
      </c>
      <c r="W19" s="216">
        <v>7.66</v>
      </c>
    </row>
    <row r="20" spans="1:23">
      <c r="A20" s="77" t="s">
        <v>89</v>
      </c>
      <c r="B20" s="11"/>
      <c r="C20" s="11"/>
      <c r="D20" s="6">
        <v>283.08999999999997</v>
      </c>
      <c r="E20" s="6">
        <v>313.33999999999997</v>
      </c>
      <c r="F20" s="6">
        <v>199.31</v>
      </c>
      <c r="G20" s="6">
        <v>193</v>
      </c>
      <c r="H20" s="6">
        <v>228.58</v>
      </c>
      <c r="I20" s="6">
        <v>231.13</v>
      </c>
      <c r="J20" s="6">
        <v>230.66</v>
      </c>
      <c r="K20" s="204">
        <v>227.08</v>
      </c>
      <c r="M20" s="77" t="s">
        <v>131</v>
      </c>
      <c r="N20" s="6"/>
      <c r="O20" s="6"/>
      <c r="P20" s="6">
        <v>0.1</v>
      </c>
      <c r="Q20" s="6">
        <v>0.1</v>
      </c>
      <c r="R20" s="115" t="s">
        <v>175</v>
      </c>
      <c r="S20" s="115" t="s">
        <v>175</v>
      </c>
      <c r="T20" s="115" t="s">
        <v>175</v>
      </c>
      <c r="U20" s="6">
        <v>0.89</v>
      </c>
      <c r="V20" s="67">
        <v>0.69</v>
      </c>
      <c r="W20" s="216">
        <v>0.06</v>
      </c>
    </row>
    <row r="21" spans="1:23">
      <c r="A21" s="77" t="s">
        <v>91</v>
      </c>
      <c r="B21" s="11"/>
      <c r="C21" s="11"/>
      <c r="D21" s="6">
        <v>587.65</v>
      </c>
      <c r="E21" s="6">
        <v>550.75</v>
      </c>
      <c r="F21" s="6">
        <v>211.81</v>
      </c>
      <c r="G21" s="6">
        <v>101.55</v>
      </c>
      <c r="H21" s="6">
        <v>87.09</v>
      </c>
      <c r="I21" s="6">
        <v>70.7</v>
      </c>
      <c r="J21" s="6">
        <v>52.18</v>
      </c>
      <c r="K21" s="204">
        <v>53.89</v>
      </c>
      <c r="L21" s="30"/>
      <c r="M21" s="77" t="s">
        <v>204</v>
      </c>
      <c r="N21" s="6"/>
      <c r="O21" s="6"/>
      <c r="P21" s="6"/>
      <c r="Q21" s="6"/>
      <c r="R21" s="115" t="s">
        <v>175</v>
      </c>
      <c r="S21" s="115" t="s">
        <v>175</v>
      </c>
      <c r="T21" s="115" t="s">
        <v>175</v>
      </c>
      <c r="U21" s="115" t="s">
        <v>175</v>
      </c>
      <c r="V21" s="67">
        <v>14.87</v>
      </c>
      <c r="W21" s="216">
        <v>23.16</v>
      </c>
    </row>
    <row r="22" spans="1:23">
      <c r="A22" s="77" t="s">
        <v>203</v>
      </c>
      <c r="B22" s="11"/>
      <c r="C22" s="11"/>
      <c r="D22" s="11"/>
      <c r="E22" s="11">
        <v>0</v>
      </c>
      <c r="F22" s="24">
        <v>0</v>
      </c>
      <c r="G22" s="24">
        <v>0</v>
      </c>
      <c r="H22" s="24">
        <v>0</v>
      </c>
      <c r="I22" s="24"/>
      <c r="J22" s="24">
        <v>0.13</v>
      </c>
      <c r="K22" s="206">
        <v>1.84</v>
      </c>
      <c r="M22" s="77" t="s">
        <v>88</v>
      </c>
      <c r="N22" s="6"/>
      <c r="O22" s="6"/>
      <c r="P22" s="6"/>
      <c r="Q22" s="6"/>
      <c r="R22" s="6"/>
      <c r="S22" s="6"/>
      <c r="T22" s="6"/>
      <c r="U22" s="6"/>
      <c r="V22" s="67"/>
      <c r="W22" s="216"/>
    </row>
    <row r="23" spans="1:23">
      <c r="A23" s="77" t="s">
        <v>94</v>
      </c>
      <c r="B23" s="11"/>
      <c r="C23" s="11"/>
      <c r="D23" s="11"/>
      <c r="E23" s="11">
        <v>0</v>
      </c>
      <c r="F23" s="24">
        <v>0</v>
      </c>
      <c r="G23" s="24">
        <v>0</v>
      </c>
      <c r="H23" s="24">
        <v>0</v>
      </c>
      <c r="I23" s="24"/>
      <c r="J23" s="24"/>
      <c r="K23" s="207">
        <v>134.21</v>
      </c>
      <c r="M23" s="77" t="s">
        <v>90</v>
      </c>
      <c r="N23" s="6"/>
      <c r="O23" s="6"/>
      <c r="P23" s="6">
        <v>177.35</v>
      </c>
      <c r="Q23" s="6">
        <v>258.31</v>
      </c>
      <c r="R23" s="6">
        <v>223.36</v>
      </c>
      <c r="S23" s="6">
        <v>182.84</v>
      </c>
      <c r="T23" s="6">
        <v>106.69</v>
      </c>
      <c r="U23" s="6">
        <v>192.72</v>
      </c>
      <c r="V23" s="67">
        <v>263.19</v>
      </c>
      <c r="W23" s="216">
        <v>201.61</v>
      </c>
    </row>
    <row r="24" spans="1:23">
      <c r="A24" s="82" t="s">
        <v>6</v>
      </c>
      <c r="B24" s="10">
        <f t="shared" ref="B24:H24" si="14">(B16-B20-B21+B22+B23)</f>
        <v>0</v>
      </c>
      <c r="C24" s="10">
        <f t="shared" si="14"/>
        <v>0</v>
      </c>
      <c r="D24" s="10">
        <f t="shared" si="14"/>
        <v>-142.52999999999901</v>
      </c>
      <c r="E24" s="10">
        <f t="shared" si="14"/>
        <v>140.59999999999968</v>
      </c>
      <c r="F24" s="10">
        <f t="shared" si="14"/>
        <v>440.05999999999989</v>
      </c>
      <c r="G24" s="10">
        <f t="shared" si="14"/>
        <v>766.37999999999988</v>
      </c>
      <c r="H24" s="10">
        <f t="shared" si="14"/>
        <v>284.38999999999942</v>
      </c>
      <c r="I24" s="10">
        <v>-16.5</v>
      </c>
      <c r="J24" s="10">
        <f>J16-J20-J21-J22-J23</f>
        <v>204.60000000000065</v>
      </c>
      <c r="K24" s="203">
        <f>K16-K20-K21-K22+K23</f>
        <v>406.25000000000034</v>
      </c>
      <c r="M24" s="77" t="s">
        <v>132</v>
      </c>
      <c r="N24" s="6"/>
      <c r="O24" s="6"/>
      <c r="P24" s="6"/>
      <c r="Q24" s="6"/>
      <c r="R24" s="6">
        <v>256.33999999999997</v>
      </c>
      <c r="S24" s="6">
        <v>6.92</v>
      </c>
      <c r="T24" s="6">
        <v>57.17</v>
      </c>
      <c r="U24" s="6">
        <v>6.27</v>
      </c>
      <c r="V24" s="67"/>
      <c r="W24" s="216"/>
    </row>
    <row r="25" spans="1:23" ht="15">
      <c r="A25" s="77" t="s">
        <v>144</v>
      </c>
      <c r="B25" s="11"/>
      <c r="C25" s="6"/>
      <c r="D25">
        <v>-0.76</v>
      </c>
      <c r="E25" s="6"/>
      <c r="F25" s="6">
        <v>83.19</v>
      </c>
      <c r="G25" s="6">
        <v>174.58</v>
      </c>
      <c r="H25" s="6">
        <v>53.92</v>
      </c>
      <c r="I25" s="6"/>
      <c r="J25" s="6">
        <v>55.01</v>
      </c>
      <c r="K25" s="208">
        <v>92.84</v>
      </c>
      <c r="M25" s="77" t="s">
        <v>133</v>
      </c>
      <c r="N25" s="6"/>
      <c r="O25" s="6"/>
      <c r="P25" s="6">
        <v>232.21</v>
      </c>
      <c r="Q25" s="6">
        <v>293.25</v>
      </c>
      <c r="R25" s="6" t="s">
        <v>175</v>
      </c>
      <c r="S25" s="6">
        <v>7.88</v>
      </c>
      <c r="T25" s="6">
        <v>2.89</v>
      </c>
      <c r="U25" s="6">
        <v>1.46</v>
      </c>
      <c r="V25" s="67">
        <v>58.16</v>
      </c>
      <c r="W25" s="216">
        <v>19.97</v>
      </c>
    </row>
    <row r="26" spans="1:23">
      <c r="A26" s="77" t="s">
        <v>145</v>
      </c>
      <c r="B26" s="11"/>
      <c r="C26" s="6"/>
      <c r="D26" s="6"/>
      <c r="E26" s="6"/>
      <c r="F26" s="6">
        <v>-83.19</v>
      </c>
      <c r="G26" s="6">
        <v>-174.58</v>
      </c>
      <c r="H26" s="6">
        <v>-53.92</v>
      </c>
      <c r="I26" s="6">
        <v>-19.25</v>
      </c>
      <c r="J26" s="6">
        <v>-54.99</v>
      </c>
      <c r="K26" s="208">
        <v>0</v>
      </c>
      <c r="M26" s="77" t="s">
        <v>95</v>
      </c>
      <c r="N26" s="6"/>
      <c r="O26" s="6"/>
      <c r="P26" s="6">
        <v>120.16</v>
      </c>
      <c r="Q26" s="6">
        <v>121.77</v>
      </c>
      <c r="R26" s="6">
        <v>103.85</v>
      </c>
      <c r="S26" s="6">
        <v>40.83</v>
      </c>
      <c r="T26" s="6">
        <v>51.29</v>
      </c>
      <c r="U26" s="6">
        <v>38.590000000000003</v>
      </c>
      <c r="V26" s="67">
        <v>25.65</v>
      </c>
      <c r="W26" s="216">
        <v>21.58</v>
      </c>
    </row>
    <row r="27" spans="1:23" ht="15">
      <c r="A27" s="77" t="s">
        <v>146</v>
      </c>
      <c r="B27" s="11"/>
      <c r="C27" s="6"/>
      <c r="D27">
        <v>-46.77</v>
      </c>
      <c r="E27" s="6">
        <v>16.71</v>
      </c>
      <c r="F27" s="6">
        <v>160.56</v>
      </c>
      <c r="G27" s="6">
        <v>266.91000000000003</v>
      </c>
      <c r="H27" s="6">
        <v>-93.69</v>
      </c>
      <c r="I27" s="6">
        <v>17.809999999999999</v>
      </c>
      <c r="J27" s="6">
        <f>84.01-33.59</f>
        <v>50.42</v>
      </c>
      <c r="K27" s="208">
        <f>48.31+0.55</f>
        <v>48.86</v>
      </c>
      <c r="M27" s="77" t="s">
        <v>185</v>
      </c>
      <c r="N27" s="6"/>
      <c r="O27" s="6"/>
      <c r="P27" s="6">
        <v>0</v>
      </c>
      <c r="Q27" s="6">
        <v>0</v>
      </c>
      <c r="R27" s="6">
        <v>0</v>
      </c>
      <c r="S27" s="6">
        <v>0</v>
      </c>
      <c r="T27" s="6">
        <v>64.56</v>
      </c>
      <c r="U27" s="6">
        <v>55.49</v>
      </c>
      <c r="V27" s="67">
        <v>56.94</v>
      </c>
      <c r="W27" s="216">
        <v>48.08</v>
      </c>
    </row>
    <row r="28" spans="1:23">
      <c r="A28" s="77" t="s">
        <v>184</v>
      </c>
      <c r="B28" s="11"/>
      <c r="C28" s="6"/>
      <c r="D28" s="6">
        <f t="shared" ref="D28:H28" si="15">SUM(D25:D27)</f>
        <v>-47.53</v>
      </c>
      <c r="E28" s="6">
        <f t="shared" si="15"/>
        <v>16.71</v>
      </c>
      <c r="F28" s="6">
        <f t="shared" si="15"/>
        <v>160.56</v>
      </c>
      <c r="G28" s="6">
        <f t="shared" si="15"/>
        <v>266.91000000000003</v>
      </c>
      <c r="H28" s="6">
        <f t="shared" si="15"/>
        <v>-93.69</v>
      </c>
      <c r="I28" s="6">
        <v>-1.44</v>
      </c>
      <c r="J28" s="6">
        <f>SUM(J25:J27)</f>
        <v>50.44</v>
      </c>
      <c r="K28" s="208">
        <f>SUM(K25:K27)</f>
        <v>141.69999999999999</v>
      </c>
      <c r="M28" s="77" t="s">
        <v>134</v>
      </c>
      <c r="N28" s="6"/>
      <c r="O28" s="6"/>
      <c r="P28" s="6">
        <v>64.16</v>
      </c>
      <c r="Q28" s="6">
        <v>64.87</v>
      </c>
      <c r="R28" s="6">
        <v>98.71</v>
      </c>
      <c r="S28" s="6">
        <v>120.52</v>
      </c>
      <c r="T28" s="6">
        <v>191.49</v>
      </c>
      <c r="U28" s="6">
        <v>51.06</v>
      </c>
      <c r="V28" s="67">
        <v>61.22</v>
      </c>
      <c r="W28" s="216">
        <v>68.739999999999995</v>
      </c>
    </row>
    <row r="29" spans="1:23">
      <c r="A29" s="85" t="s">
        <v>7</v>
      </c>
      <c r="B29" s="12">
        <v>0</v>
      </c>
      <c r="C29" s="12">
        <v>0</v>
      </c>
      <c r="D29" s="12">
        <f t="shared" ref="D29:K29" si="16">(D28/D24)</f>
        <v>0.33347365466919476</v>
      </c>
      <c r="E29" s="12">
        <f t="shared" si="16"/>
        <v>0.11884779516358492</v>
      </c>
      <c r="F29" s="12">
        <f t="shared" si="16"/>
        <v>0.36485933736308696</v>
      </c>
      <c r="G29" s="12">
        <f t="shared" si="16"/>
        <v>0.34827370234087535</v>
      </c>
      <c r="H29" s="12">
        <f t="shared" si="16"/>
        <v>-0.329441963500827</v>
      </c>
      <c r="I29" s="100" t="s">
        <v>175</v>
      </c>
      <c r="J29" s="12">
        <f t="shared" si="16"/>
        <v>0.24652981427174897</v>
      </c>
      <c r="K29" s="209">
        <f t="shared" si="16"/>
        <v>0.34879999999999967</v>
      </c>
      <c r="M29" s="77"/>
      <c r="N29" s="6"/>
      <c r="O29" s="6"/>
      <c r="P29" s="6"/>
      <c r="Q29" s="6"/>
      <c r="R29" s="6"/>
      <c r="S29" s="6"/>
      <c r="T29" s="6"/>
      <c r="U29" s="6"/>
      <c r="V29" s="67"/>
      <c r="W29" s="171"/>
    </row>
    <row r="30" spans="1:23">
      <c r="A30" s="82" t="s">
        <v>8</v>
      </c>
      <c r="B30" s="10">
        <f>(B24-B25)</f>
        <v>0</v>
      </c>
      <c r="C30" s="10">
        <f>(C24-C25)</f>
        <v>0</v>
      </c>
      <c r="D30" s="10">
        <f>D24-D28</f>
        <v>-94.999999999999005</v>
      </c>
      <c r="E30" s="10">
        <f>E24-E28</f>
        <v>123.88999999999967</v>
      </c>
      <c r="F30" s="10">
        <f>F24-F28</f>
        <v>279.49999999999989</v>
      </c>
      <c r="G30" s="10">
        <f>G24-G28</f>
        <v>499.46999999999986</v>
      </c>
      <c r="H30" s="10">
        <f>H24-H28</f>
        <v>378.07999999999942</v>
      </c>
      <c r="I30" s="10">
        <v>-15.1</v>
      </c>
      <c r="J30" s="10">
        <f>(J24-J28)</f>
        <v>154.16000000000065</v>
      </c>
      <c r="K30" s="203">
        <f>(K24-K28)</f>
        <v>264.55000000000035</v>
      </c>
      <c r="M30" s="82" t="s">
        <v>35</v>
      </c>
      <c r="N30" s="10">
        <f t="shared" ref="N30:U30" si="17">SUM(N31:N39)</f>
        <v>0</v>
      </c>
      <c r="O30" s="10">
        <f t="shared" si="17"/>
        <v>0</v>
      </c>
      <c r="P30" s="10">
        <f t="shared" si="17"/>
        <v>2164.9699999999998</v>
      </c>
      <c r="Q30" s="10">
        <f t="shared" si="17"/>
        <v>2254.4300000000003</v>
      </c>
      <c r="R30" s="10">
        <f t="shared" si="17"/>
        <v>2358.5100000000002</v>
      </c>
      <c r="S30" s="10">
        <f t="shared" si="17"/>
        <v>1108.6199999999999</v>
      </c>
      <c r="T30" s="10">
        <f t="shared" si="17"/>
        <v>1802.6700000000005</v>
      </c>
      <c r="U30" s="10">
        <f t="shared" si="17"/>
        <v>1996.4199999999998</v>
      </c>
      <c r="V30" s="18">
        <f t="shared" ref="V30:W30" si="18">SUM(V31:V39)</f>
        <v>2989.3900000000003</v>
      </c>
      <c r="W30" s="203">
        <f t="shared" si="18"/>
        <v>3926.4800000000005</v>
      </c>
    </row>
    <row r="31" spans="1:23">
      <c r="A31" s="82" t="s">
        <v>67</v>
      </c>
      <c r="B31" s="31">
        <v>0</v>
      </c>
      <c r="C31" s="31">
        <v>0</v>
      </c>
      <c r="D31" s="31">
        <f t="shared" ref="D31:I31" si="19">D30/D4</f>
        <v>-1.0863114466352247E-2</v>
      </c>
      <c r="E31" s="31">
        <f t="shared" si="19"/>
        <v>1.4750811419645007E-2</v>
      </c>
      <c r="F31" s="31">
        <f t="shared" si="19"/>
        <v>7.0814711217860982E-2</v>
      </c>
      <c r="G31" s="31">
        <f t="shared" si="19"/>
        <v>0.12665459635456286</v>
      </c>
      <c r="H31" s="31">
        <f t="shared" si="19"/>
        <v>0.110439268334005</v>
      </c>
      <c r="I31" s="31">
        <f t="shared" si="19"/>
        <v>-5.7708476649086602E-3</v>
      </c>
      <c r="J31" s="31">
        <f>J30/J6</f>
        <v>3.6933308736682623E-2</v>
      </c>
      <c r="K31" s="210">
        <f>K30/K6</f>
        <v>5.4804367776564812E-2</v>
      </c>
      <c r="M31" s="77" t="s">
        <v>36</v>
      </c>
      <c r="N31" s="6"/>
      <c r="O31" s="6"/>
      <c r="P31" s="6">
        <v>1273.1400000000001</v>
      </c>
      <c r="Q31" s="6">
        <v>1264.5</v>
      </c>
      <c r="R31" s="6">
        <v>1178.55</v>
      </c>
      <c r="S31" s="6">
        <v>699</v>
      </c>
      <c r="T31" s="6">
        <v>1337.68</v>
      </c>
      <c r="U31" s="6">
        <v>1508.29</v>
      </c>
      <c r="V31" s="180">
        <v>2330.86</v>
      </c>
      <c r="W31" s="216">
        <v>3256.1</v>
      </c>
    </row>
    <row r="32" spans="1:23">
      <c r="A32" s="85" t="s">
        <v>80</v>
      </c>
      <c r="B32" s="31"/>
      <c r="C32" s="31"/>
      <c r="D32" s="31"/>
      <c r="E32" s="31"/>
      <c r="F32" s="31"/>
      <c r="G32" s="31"/>
      <c r="H32" s="12">
        <f>+((H30/E30)^(1/3)-1)</f>
        <v>0.4504936006851552</v>
      </c>
      <c r="I32" s="12">
        <f>+((I30/F30)^(1/3)-1)</f>
        <v>-1.3780347399617694</v>
      </c>
      <c r="J32" s="12">
        <f>+((J30/G30)^(1/3)-1)</f>
        <v>-0.32419598979381048</v>
      </c>
      <c r="K32" s="12">
        <f>+((K30/H30)^(1/3)-1)</f>
        <v>-0.11221455516691603</v>
      </c>
      <c r="M32" s="77" t="s">
        <v>88</v>
      </c>
      <c r="N32" s="6"/>
      <c r="O32" s="6"/>
      <c r="P32" s="6"/>
      <c r="Q32" s="6"/>
      <c r="R32" s="6"/>
      <c r="S32" s="6"/>
      <c r="T32" s="6"/>
      <c r="U32" s="6"/>
      <c r="V32" s="180"/>
      <c r="W32" s="216"/>
    </row>
    <row r="33" spans="1:23">
      <c r="A33" s="76" t="s">
        <v>147</v>
      </c>
      <c r="B33" s="6"/>
      <c r="C33" s="6"/>
      <c r="D33" s="6"/>
      <c r="E33" s="6"/>
      <c r="F33" s="6"/>
      <c r="G33" s="6"/>
      <c r="H33" s="6"/>
      <c r="I33" s="6"/>
      <c r="J33" s="6"/>
      <c r="K33" s="171"/>
      <c r="M33" s="77" t="s">
        <v>187</v>
      </c>
      <c r="N33" s="6"/>
      <c r="O33" s="6"/>
      <c r="P33" s="6">
        <v>524.36</v>
      </c>
      <c r="Q33" s="6">
        <v>502.96</v>
      </c>
      <c r="R33" s="6">
        <v>421.47</v>
      </c>
      <c r="S33" s="6">
        <v>203.86</v>
      </c>
      <c r="T33" s="6">
        <v>181.24</v>
      </c>
      <c r="U33" s="6">
        <v>157.85</v>
      </c>
      <c r="V33" s="180">
        <v>216.8</v>
      </c>
      <c r="W33" s="216">
        <v>156.44</v>
      </c>
    </row>
    <row r="34" spans="1:23" ht="15">
      <c r="A34" s="77" t="s">
        <v>148</v>
      </c>
      <c r="B34" s="6"/>
      <c r="C34" s="6"/>
      <c r="D34" s="6"/>
      <c r="E34" s="6">
        <v>-28.9</v>
      </c>
      <c r="F34" s="6">
        <v>167.72</v>
      </c>
      <c r="G34" s="6">
        <v>-46.56</v>
      </c>
      <c r="H34" s="6">
        <v>-27.13</v>
      </c>
      <c r="I34" s="6">
        <v>-28.5</v>
      </c>
      <c r="J34" s="60">
        <v>-7.04</v>
      </c>
      <c r="K34" s="208">
        <v>0</v>
      </c>
      <c r="M34" s="77" t="s">
        <v>188</v>
      </c>
      <c r="N34" s="6"/>
      <c r="O34" s="6"/>
      <c r="P34" s="6">
        <v>54.46</v>
      </c>
      <c r="Q34" s="6">
        <v>39.24</v>
      </c>
      <c r="R34" s="6">
        <v>189.36</v>
      </c>
      <c r="S34" s="6">
        <v>21.25</v>
      </c>
      <c r="T34" s="6">
        <v>58.7</v>
      </c>
      <c r="U34" s="6">
        <v>50.54</v>
      </c>
      <c r="V34" s="180">
        <v>34.82</v>
      </c>
      <c r="W34" s="216">
        <v>48.51</v>
      </c>
    </row>
    <row r="35" spans="1:23">
      <c r="A35" s="77" t="s">
        <v>201</v>
      </c>
      <c r="B35" s="6"/>
      <c r="C35" s="6"/>
      <c r="D35" s="6"/>
      <c r="E35" s="6"/>
      <c r="F35" s="6">
        <v>-18.12</v>
      </c>
      <c r="G35" s="6">
        <v>5593.46</v>
      </c>
      <c r="H35" s="6"/>
      <c r="I35" s="6"/>
      <c r="J35" s="6">
        <v>17.63</v>
      </c>
      <c r="K35" s="208">
        <v>0</v>
      </c>
      <c r="M35" s="77" t="s">
        <v>189</v>
      </c>
      <c r="N35" s="6"/>
      <c r="O35" s="6"/>
      <c r="P35" s="6">
        <v>47.33</v>
      </c>
      <c r="Q35" s="6">
        <v>49.97</v>
      </c>
      <c r="R35" s="6">
        <v>60.39</v>
      </c>
      <c r="S35" s="6">
        <v>37.29</v>
      </c>
      <c r="T35" s="6">
        <v>60.65</v>
      </c>
      <c r="U35" s="6">
        <v>74.39</v>
      </c>
      <c r="V35" s="180">
        <v>30.99</v>
      </c>
      <c r="W35" s="216">
        <v>102.62</v>
      </c>
    </row>
    <row r="36" spans="1:23">
      <c r="A36" s="77" t="s">
        <v>150</v>
      </c>
      <c r="B36" s="6"/>
      <c r="C36" s="6"/>
      <c r="D36" s="6"/>
      <c r="E36" s="6">
        <v>10</v>
      </c>
      <c r="F36" s="6">
        <v>-57.44</v>
      </c>
      <c r="G36" s="6">
        <v>16.79</v>
      </c>
      <c r="H36" s="6">
        <v>9.48</v>
      </c>
      <c r="I36" s="6">
        <v>9.9600000000000009</v>
      </c>
      <c r="J36" s="6">
        <v>-3.05</v>
      </c>
      <c r="K36" s="208">
        <v>0</v>
      </c>
      <c r="M36" s="77" t="s">
        <v>190</v>
      </c>
      <c r="N36" s="6"/>
      <c r="O36" s="6"/>
      <c r="P36" s="6"/>
      <c r="Q36" s="6"/>
      <c r="R36" s="6"/>
      <c r="S36" s="6">
        <v>3.35</v>
      </c>
      <c r="T36" s="6">
        <v>0.88</v>
      </c>
      <c r="U36" s="6">
        <v>1.26</v>
      </c>
      <c r="V36" s="180">
        <v>0</v>
      </c>
      <c r="W36" s="216"/>
    </row>
    <row r="37" spans="1:23">
      <c r="A37" s="82" t="s">
        <v>151</v>
      </c>
      <c r="B37" s="33"/>
      <c r="C37" s="33"/>
      <c r="D37" s="25">
        <f>D34+D35+D36</f>
        <v>0</v>
      </c>
      <c r="E37" s="25">
        <f>E34+E35+E36</f>
        <v>-18.899999999999999</v>
      </c>
      <c r="F37" s="25">
        <f>F34+F35+F36</f>
        <v>92.16</v>
      </c>
      <c r="G37" s="25">
        <f>G34+G35+G36</f>
        <v>5563.69</v>
      </c>
      <c r="H37" s="25">
        <f>H34+H35+H36</f>
        <v>-17.649999999999999</v>
      </c>
      <c r="I37" s="25">
        <v>-18.54</v>
      </c>
      <c r="J37" s="25">
        <f>SUM(J34:J36)</f>
        <v>7.54</v>
      </c>
      <c r="K37" s="211">
        <f>SUM(K34:K36)</f>
        <v>0</v>
      </c>
      <c r="M37" s="77" t="s">
        <v>191</v>
      </c>
      <c r="N37" s="6"/>
      <c r="O37" s="6"/>
      <c r="P37" s="6">
        <v>97.08</v>
      </c>
      <c r="Q37" s="6">
        <v>160.26</v>
      </c>
      <c r="R37" s="6">
        <v>205.82</v>
      </c>
      <c r="S37" s="6">
        <v>26.04</v>
      </c>
      <c r="T37" s="6">
        <v>28.13</v>
      </c>
      <c r="U37" s="6">
        <v>19.8</v>
      </c>
      <c r="V37" s="180">
        <v>13.18</v>
      </c>
      <c r="W37" s="216">
        <v>16.09</v>
      </c>
    </row>
    <row r="38" spans="1:23">
      <c r="A38" s="82" t="s">
        <v>152</v>
      </c>
      <c r="B38" s="25"/>
      <c r="C38" s="25"/>
      <c r="D38" s="62">
        <f t="shared" ref="D38:K38" si="20">D30+D37</f>
        <v>-94.999999999999005</v>
      </c>
      <c r="E38" s="62">
        <f t="shared" si="20"/>
        <v>104.98999999999967</v>
      </c>
      <c r="F38" s="62">
        <f t="shared" si="20"/>
        <v>371.65999999999985</v>
      </c>
      <c r="G38" s="62">
        <f t="shared" si="20"/>
        <v>6063.16</v>
      </c>
      <c r="H38" s="62">
        <f t="shared" si="20"/>
        <v>360.42999999999944</v>
      </c>
      <c r="I38" s="62">
        <v>-33.61</v>
      </c>
      <c r="J38" s="62">
        <f t="shared" si="20"/>
        <v>161.70000000000064</v>
      </c>
      <c r="K38" s="212">
        <f t="shared" si="20"/>
        <v>264.55000000000035</v>
      </c>
      <c r="M38" s="77" t="s">
        <v>196</v>
      </c>
      <c r="N38" s="6"/>
      <c r="O38" s="6"/>
      <c r="P38" s="6"/>
      <c r="Q38" s="6"/>
      <c r="R38" s="6"/>
      <c r="S38" s="6"/>
      <c r="T38" s="6"/>
      <c r="U38" s="6">
        <v>45</v>
      </c>
      <c r="V38" s="180">
        <v>131</v>
      </c>
      <c r="W38" s="216">
        <v>3</v>
      </c>
    </row>
    <row r="39" spans="1:23">
      <c r="A39" s="76" t="s">
        <v>153</v>
      </c>
      <c r="B39" s="6"/>
      <c r="C39" s="6"/>
      <c r="D39" s="6"/>
      <c r="E39" s="6"/>
      <c r="F39" s="6"/>
      <c r="G39" s="6"/>
      <c r="H39" s="6"/>
      <c r="I39" s="6"/>
      <c r="J39" s="6"/>
      <c r="K39" s="171"/>
      <c r="M39" s="77" t="s">
        <v>58</v>
      </c>
      <c r="N39" s="6"/>
      <c r="O39" s="6"/>
      <c r="P39" s="6">
        <v>168.6</v>
      </c>
      <c r="Q39" s="6">
        <v>237.5</v>
      </c>
      <c r="R39" s="6">
        <v>302.92</v>
      </c>
      <c r="S39" s="6">
        <v>117.83</v>
      </c>
      <c r="T39" s="6">
        <v>135.38999999999999</v>
      </c>
      <c r="U39" s="6">
        <v>139.29</v>
      </c>
      <c r="V39" s="180">
        <v>231.74</v>
      </c>
      <c r="W39" s="216">
        <v>343.72</v>
      </c>
    </row>
    <row r="40" spans="1:23" ht="15">
      <c r="A40" s="77" t="s">
        <v>198</v>
      </c>
      <c r="B40" s="20"/>
      <c r="C40" s="20"/>
      <c r="D40" s="20"/>
      <c r="E40" s="20">
        <v>80.959999999999994</v>
      </c>
      <c r="F40" s="20">
        <v>-34.53</v>
      </c>
      <c r="G40">
        <v>-41.2</v>
      </c>
      <c r="H40" s="20">
        <v>-78.86</v>
      </c>
      <c r="I40" s="20">
        <v>88.82</v>
      </c>
      <c r="J40" s="20">
        <v>59.11</v>
      </c>
      <c r="K40" s="213">
        <v>-59.19</v>
      </c>
      <c r="M40" s="178"/>
      <c r="W40" s="216"/>
    </row>
    <row r="41" spans="1:23">
      <c r="A41" s="77" t="s">
        <v>199</v>
      </c>
      <c r="B41" s="6"/>
      <c r="C41" s="6"/>
      <c r="D41" s="6">
        <v>0</v>
      </c>
      <c r="E41" s="6">
        <v>6.11</v>
      </c>
      <c r="F41" s="6">
        <v>2.85</v>
      </c>
      <c r="G41" s="6">
        <v>0.11</v>
      </c>
      <c r="H41" s="6">
        <v>0</v>
      </c>
      <c r="I41" s="6">
        <v>0</v>
      </c>
      <c r="J41" s="6">
        <v>0</v>
      </c>
      <c r="K41" s="208">
        <v>0</v>
      </c>
      <c r="M41" s="77" t="s">
        <v>135</v>
      </c>
      <c r="N41" s="6"/>
      <c r="O41" s="6"/>
      <c r="P41" s="6"/>
      <c r="Q41" s="6"/>
      <c r="R41" s="6"/>
      <c r="S41" s="6">
        <v>2.23</v>
      </c>
      <c r="T41" s="6">
        <v>1.33</v>
      </c>
      <c r="U41" s="6">
        <v>1.96</v>
      </c>
      <c r="V41" s="188">
        <v>0</v>
      </c>
      <c r="W41" s="216">
        <v>0</v>
      </c>
    </row>
    <row r="42" spans="1:23" ht="15">
      <c r="A42" s="76" t="s">
        <v>162</v>
      </c>
      <c r="B42" s="20"/>
      <c r="C42" s="20"/>
      <c r="D42" s="20"/>
      <c r="E42">
        <v>87.07</v>
      </c>
      <c r="F42" s="20">
        <v>-31.68</v>
      </c>
      <c r="G42" s="39">
        <v>-41</v>
      </c>
      <c r="H42" s="20">
        <v>-78.86</v>
      </c>
      <c r="I42" s="66">
        <v>88.82</v>
      </c>
      <c r="J42" s="112">
        <f>SUM(J40:J41)</f>
        <v>59.11</v>
      </c>
      <c r="K42" s="208">
        <f>SUM(K40:K41)</f>
        <v>-59.19</v>
      </c>
      <c r="M42" s="178"/>
      <c r="W42" s="171"/>
    </row>
    <row r="43" spans="1:23">
      <c r="A43" s="82" t="s">
        <v>163</v>
      </c>
      <c r="B43" s="25"/>
      <c r="C43" s="25"/>
      <c r="D43" s="62"/>
      <c r="E43" s="62">
        <f t="shared" ref="E43:K43" si="21">SUM(E38+E42)</f>
        <v>192.05999999999966</v>
      </c>
      <c r="F43" s="62">
        <f t="shared" si="21"/>
        <v>339.97999999999985</v>
      </c>
      <c r="G43" s="62">
        <f t="shared" si="21"/>
        <v>6022.16</v>
      </c>
      <c r="H43" s="62">
        <f t="shared" si="21"/>
        <v>281.56999999999942</v>
      </c>
      <c r="I43" s="62">
        <f t="shared" si="21"/>
        <v>55.209999999999994</v>
      </c>
      <c r="J43" s="62">
        <f t="shared" si="21"/>
        <v>220.81000000000063</v>
      </c>
      <c r="K43" s="212">
        <f t="shared" si="21"/>
        <v>205.36000000000035</v>
      </c>
      <c r="M43" s="82" t="s">
        <v>37</v>
      </c>
      <c r="N43" s="10">
        <f>SUM(N44:N46)</f>
        <v>0</v>
      </c>
      <c r="O43" s="10">
        <f>SUM(O44:O46)</f>
        <v>0</v>
      </c>
      <c r="P43" s="10">
        <f t="shared" ref="P43:U43" si="22">SUM(P44:P49)</f>
        <v>2817.6</v>
      </c>
      <c r="Q43" s="10">
        <f t="shared" si="22"/>
        <v>2859.28</v>
      </c>
      <c r="R43" s="10">
        <f t="shared" si="22"/>
        <v>2593.3000000000002</v>
      </c>
      <c r="S43" s="10">
        <f t="shared" si="22"/>
        <v>1050.71</v>
      </c>
      <c r="T43" s="10">
        <f t="shared" si="22"/>
        <v>1802.3000000000002</v>
      </c>
      <c r="U43" s="10">
        <f t="shared" si="22"/>
        <v>1434.8500000000001</v>
      </c>
      <c r="V43" s="18">
        <f t="shared" ref="V43:W43" si="23">SUM(V44:V49)</f>
        <v>1908.0700000000002</v>
      </c>
      <c r="W43" s="203">
        <f t="shared" si="23"/>
        <v>2740.2</v>
      </c>
    </row>
    <row r="44" spans="1:23">
      <c r="A44" s="77"/>
      <c r="B44" s="1"/>
      <c r="C44" s="1"/>
      <c r="D44" s="1"/>
      <c r="E44" s="1"/>
      <c r="F44" s="1"/>
      <c r="G44" s="1"/>
      <c r="H44" s="1"/>
      <c r="I44" s="67"/>
      <c r="J44" s="1"/>
      <c r="K44" s="171"/>
      <c r="M44" s="179" t="s">
        <v>136</v>
      </c>
      <c r="N44" s="11"/>
      <c r="O44" s="11"/>
      <c r="P44" s="11"/>
      <c r="Q44" s="11"/>
      <c r="R44" s="11"/>
      <c r="S44" s="11"/>
      <c r="T44" s="11"/>
      <c r="U44" s="11"/>
      <c r="V44" s="23"/>
      <c r="W44" s="208"/>
    </row>
    <row r="45" spans="1:23">
      <c r="A45" s="76" t="s">
        <v>9</v>
      </c>
      <c r="B45" s="20"/>
      <c r="C45" s="21"/>
      <c r="D45" s="21"/>
      <c r="E45" s="21"/>
      <c r="F45" s="21"/>
      <c r="G45" s="21"/>
      <c r="H45" s="21"/>
      <c r="I45" s="68"/>
      <c r="J45" s="21"/>
      <c r="K45" s="171"/>
      <c r="M45" s="179" t="s">
        <v>192</v>
      </c>
      <c r="N45" s="11"/>
      <c r="O45" s="11"/>
      <c r="P45" s="11">
        <v>0</v>
      </c>
      <c r="Q45" s="11">
        <v>0</v>
      </c>
      <c r="R45" s="11">
        <v>0</v>
      </c>
      <c r="S45" s="11">
        <v>0</v>
      </c>
      <c r="T45" s="11">
        <v>1.95</v>
      </c>
      <c r="U45" s="11">
        <v>2.69</v>
      </c>
      <c r="V45" s="23">
        <v>2.2999999999999998</v>
      </c>
      <c r="W45" s="216">
        <v>2.2599999999999998</v>
      </c>
    </row>
    <row r="46" spans="1:23">
      <c r="A46" s="76" t="s">
        <v>164</v>
      </c>
      <c r="B46" s="20"/>
      <c r="C46" s="21"/>
      <c r="D46" s="40">
        <v>-9.1</v>
      </c>
      <c r="E46" s="40">
        <v>11.09</v>
      </c>
      <c r="F46" s="40">
        <v>25.03</v>
      </c>
      <c r="G46" s="40">
        <v>44.72</v>
      </c>
      <c r="H46" s="40">
        <v>34.28</v>
      </c>
      <c r="I46" s="68">
        <v>-1.1000000000000001</v>
      </c>
      <c r="J46" s="21">
        <v>14.23</v>
      </c>
      <c r="K46" s="214">
        <v>24.34</v>
      </c>
      <c r="M46" s="179" t="s">
        <v>193</v>
      </c>
      <c r="N46" s="11"/>
      <c r="O46" s="11"/>
      <c r="P46" s="11">
        <v>609.91</v>
      </c>
      <c r="Q46" s="11">
        <v>705.82</v>
      </c>
      <c r="R46" s="11">
        <f>678.1+3.7</f>
        <v>681.80000000000007</v>
      </c>
      <c r="S46" s="11">
        <f>512.7+6.7</f>
        <v>519.40000000000009</v>
      </c>
      <c r="T46" s="11">
        <f>8.9+483.7</f>
        <v>492.59999999999997</v>
      </c>
      <c r="U46" s="11">
        <v>620.52</v>
      </c>
      <c r="V46" s="23">
        <f>11.88+846.08</f>
        <v>857.96</v>
      </c>
      <c r="W46" s="216">
        <f>19.11+766.4</f>
        <v>785.51</v>
      </c>
    </row>
    <row r="47" spans="1:23">
      <c r="A47" s="76" t="s">
        <v>165</v>
      </c>
      <c r="B47" s="20"/>
      <c r="C47" s="21"/>
      <c r="D47" s="40"/>
      <c r="E47" s="40">
        <v>-1.69</v>
      </c>
      <c r="F47" s="40">
        <v>8.25</v>
      </c>
      <c r="G47" s="40">
        <v>498.14</v>
      </c>
      <c r="H47" s="40">
        <v>-1.58</v>
      </c>
      <c r="I47" s="68">
        <v>-1.7</v>
      </c>
      <c r="J47" s="21">
        <v>0.68</v>
      </c>
      <c r="K47" s="213">
        <v>0</v>
      </c>
      <c r="M47" s="179" t="s">
        <v>194</v>
      </c>
      <c r="N47" s="11"/>
      <c r="O47" s="11"/>
      <c r="P47" s="11">
        <v>1538.76</v>
      </c>
      <c r="Q47" s="11">
        <v>1490.11</v>
      </c>
      <c r="R47" s="11">
        <v>1182.0899999999999</v>
      </c>
      <c r="S47" s="11">
        <v>260.17</v>
      </c>
      <c r="T47" s="11">
        <v>944.16</v>
      </c>
      <c r="U47" s="11">
        <v>288.27</v>
      </c>
      <c r="V47" s="23">
        <v>149.08000000000001</v>
      </c>
      <c r="W47" s="216">
        <v>175.31</v>
      </c>
    </row>
    <row r="48" spans="1:23" ht="12.75" thickBot="1">
      <c r="A48" s="78" t="s">
        <v>166</v>
      </c>
      <c r="B48" s="86"/>
      <c r="C48" s="87"/>
      <c r="D48" s="88"/>
      <c r="E48" s="88">
        <v>9.4</v>
      </c>
      <c r="F48" s="88">
        <v>33.28</v>
      </c>
      <c r="G48" s="88">
        <v>542.86</v>
      </c>
      <c r="H48" s="88">
        <v>32.700000000000003</v>
      </c>
      <c r="I48" s="89">
        <v>-2.7</v>
      </c>
      <c r="J48" s="87">
        <f>J46+J47</f>
        <v>14.91</v>
      </c>
      <c r="K48" s="215">
        <f>SUM(K46:K47)</f>
        <v>24.34</v>
      </c>
      <c r="M48" s="179" t="s">
        <v>103</v>
      </c>
      <c r="N48" s="11"/>
      <c r="O48" s="11"/>
      <c r="P48" s="11">
        <v>469.83</v>
      </c>
      <c r="Q48" s="11">
        <v>445.82</v>
      </c>
      <c r="R48" s="11">
        <v>418.24</v>
      </c>
      <c r="S48" s="11">
        <v>175.81</v>
      </c>
      <c r="T48" s="11">
        <v>181.94</v>
      </c>
      <c r="U48" s="11">
        <v>189.68</v>
      </c>
      <c r="V48" s="23">
        <v>181.87</v>
      </c>
      <c r="W48" s="216">
        <v>182.46</v>
      </c>
    </row>
    <row r="49" spans="1:23">
      <c r="M49" s="179" t="s">
        <v>141</v>
      </c>
      <c r="N49" s="11"/>
      <c r="O49" s="11"/>
      <c r="P49" s="11">
        <v>199.1</v>
      </c>
      <c r="Q49" s="11">
        <v>217.53</v>
      </c>
      <c r="R49" s="11">
        <v>311.17</v>
      </c>
      <c r="S49" s="11">
        <v>95.33</v>
      </c>
      <c r="T49" s="11">
        <v>181.65</v>
      </c>
      <c r="U49" s="11">
        <v>333.69</v>
      </c>
      <c r="V49" s="23">
        <v>716.86</v>
      </c>
      <c r="W49" s="216">
        <v>1594.66</v>
      </c>
    </row>
    <row r="50" spans="1:23" ht="12.75" thickBot="1">
      <c r="A50" s="19" t="s">
        <v>10</v>
      </c>
      <c r="K50" s="19"/>
      <c r="M50" s="178"/>
      <c r="W50" s="208"/>
    </row>
    <row r="51" spans="1:23">
      <c r="A51" s="74" t="s">
        <v>200</v>
      </c>
      <c r="B51" s="75" t="s">
        <v>25</v>
      </c>
      <c r="C51" s="75" t="s">
        <v>26</v>
      </c>
      <c r="D51" s="75" t="s">
        <v>27</v>
      </c>
      <c r="E51" s="75" t="s">
        <v>28</v>
      </c>
      <c r="F51" s="75" t="s">
        <v>69</v>
      </c>
      <c r="G51" s="75" t="s">
        <v>76</v>
      </c>
      <c r="H51" s="75" t="s">
        <v>108</v>
      </c>
      <c r="I51" s="75" t="s">
        <v>197</v>
      </c>
      <c r="J51" s="101" t="s">
        <v>202</v>
      </c>
      <c r="K51" s="189" t="s">
        <v>253</v>
      </c>
      <c r="M51" s="82" t="s">
        <v>38</v>
      </c>
      <c r="N51" s="10">
        <f t="shared" ref="N51:W51" si="24">(N30-N43-N9)</f>
        <v>0</v>
      </c>
      <c r="O51" s="10">
        <f t="shared" si="24"/>
        <v>0</v>
      </c>
      <c r="P51" s="10">
        <f t="shared" si="24"/>
        <v>-2071.84</v>
      </c>
      <c r="Q51" s="10">
        <f t="shared" si="24"/>
        <v>-2192.6999999999998</v>
      </c>
      <c r="R51" s="10">
        <f t="shared" si="24"/>
        <v>-1697.36</v>
      </c>
      <c r="S51" s="10">
        <f t="shared" si="24"/>
        <v>-142.53000000000014</v>
      </c>
      <c r="T51" s="10">
        <f t="shared" si="24"/>
        <v>-33.469999999999658</v>
      </c>
      <c r="U51" s="10">
        <f t="shared" si="24"/>
        <v>553.08999999999969</v>
      </c>
      <c r="V51" s="18">
        <f t="shared" si="24"/>
        <v>147.58000000000015</v>
      </c>
      <c r="W51" s="203">
        <f t="shared" si="24"/>
        <v>547.66000000000065</v>
      </c>
    </row>
    <row r="52" spans="1:23">
      <c r="A52" s="76" t="s">
        <v>11</v>
      </c>
      <c r="B52" s="6"/>
      <c r="C52" s="6"/>
      <c r="D52" s="6">
        <v>20.010000000000002</v>
      </c>
      <c r="E52" s="6">
        <v>-559.33000000000004</v>
      </c>
      <c r="F52" s="6">
        <v>-41.47</v>
      </c>
      <c r="G52" s="73">
        <v>165.06</v>
      </c>
      <c r="H52" s="73">
        <v>-87.45</v>
      </c>
      <c r="I52" s="73">
        <v>40.4</v>
      </c>
      <c r="J52" s="180">
        <v>44.25</v>
      </c>
      <c r="K52" s="216">
        <v>23.7</v>
      </c>
      <c r="M52" s="178"/>
      <c r="W52" s="208"/>
    </row>
    <row r="53" spans="1:23">
      <c r="A53" s="76" t="s">
        <v>12</v>
      </c>
      <c r="B53" s="6"/>
      <c r="C53" s="6"/>
      <c r="D53" s="6">
        <v>1020.02</v>
      </c>
      <c r="E53" s="6">
        <v>940.03</v>
      </c>
      <c r="F53" s="6">
        <v>2209.0500000000002</v>
      </c>
      <c r="G53" s="6">
        <v>547.70000000000005</v>
      </c>
      <c r="H53" s="6">
        <v>-22.81</v>
      </c>
      <c r="I53" s="6">
        <v>566.39</v>
      </c>
      <c r="J53" s="180">
        <v>-51.13</v>
      </c>
      <c r="K53" s="202">
        <v>270.95999999999998</v>
      </c>
      <c r="M53" s="77" t="s">
        <v>104</v>
      </c>
      <c r="N53" s="6"/>
      <c r="O53" s="6"/>
      <c r="P53" s="6"/>
      <c r="Q53" s="6"/>
      <c r="R53" s="6">
        <v>6.73</v>
      </c>
      <c r="S53" s="6">
        <v>0.35</v>
      </c>
      <c r="T53" s="6">
        <v>0.74</v>
      </c>
      <c r="U53" s="6">
        <v>0.75</v>
      </c>
      <c r="V53" s="180">
        <v>1.5</v>
      </c>
      <c r="W53" s="216">
        <v>2.48</v>
      </c>
    </row>
    <row r="54" spans="1:23">
      <c r="A54" s="77" t="s">
        <v>66</v>
      </c>
      <c r="B54" s="6"/>
      <c r="C54" s="6"/>
      <c r="D54" s="6">
        <v>-356.94</v>
      </c>
      <c r="E54" s="6">
        <v>-247</v>
      </c>
      <c r="F54" s="6">
        <v>-194.91</v>
      </c>
      <c r="G54" s="6">
        <v>-122.89</v>
      </c>
      <c r="H54" s="6">
        <v>-241.03</v>
      </c>
      <c r="I54" s="6">
        <v>-91.63</v>
      </c>
      <c r="J54" s="180">
        <v>-176.21</v>
      </c>
      <c r="K54" s="202">
        <v>138.49</v>
      </c>
      <c r="M54" s="77" t="s">
        <v>105</v>
      </c>
      <c r="N54" s="6"/>
      <c r="O54" s="6"/>
      <c r="P54" s="6">
        <v>95.77</v>
      </c>
      <c r="Q54" s="6">
        <v>80.709999999999994</v>
      </c>
      <c r="R54" s="6">
        <v>217.32</v>
      </c>
      <c r="S54" s="6">
        <v>93.99</v>
      </c>
      <c r="T54" s="6"/>
      <c r="U54" s="6"/>
      <c r="V54" s="180"/>
      <c r="W54" s="216">
        <v>40.64</v>
      </c>
    </row>
    <row r="55" spans="1:23">
      <c r="A55" s="77" t="s">
        <v>13</v>
      </c>
      <c r="B55" s="6"/>
      <c r="C55" s="6"/>
      <c r="D55" s="6">
        <v>-1242.42</v>
      </c>
      <c r="E55" s="6">
        <v>-175.17</v>
      </c>
      <c r="F55" s="6">
        <v>-1795.17</v>
      </c>
      <c r="G55" s="6">
        <v>-677.32</v>
      </c>
      <c r="H55" s="6">
        <v>391.64</v>
      </c>
      <c r="I55" s="6">
        <v>-470.86</v>
      </c>
      <c r="J55" s="180">
        <v>206.75</v>
      </c>
      <c r="K55" s="202">
        <v>-553.48</v>
      </c>
      <c r="M55" s="77" t="s">
        <v>127</v>
      </c>
      <c r="N55" s="6"/>
      <c r="O55" s="6"/>
      <c r="P55" s="6">
        <v>190.54</v>
      </c>
      <c r="Q55" s="6">
        <v>156.11000000000001</v>
      </c>
      <c r="R55" s="6">
        <v>813.58</v>
      </c>
      <c r="S55" s="6">
        <v>686.72</v>
      </c>
      <c r="T55" s="6">
        <v>601.17999999999995</v>
      </c>
      <c r="U55" s="6">
        <v>571.51</v>
      </c>
      <c r="V55" s="180">
        <v>520.21</v>
      </c>
      <c r="W55" s="216">
        <v>454.5</v>
      </c>
    </row>
    <row r="56" spans="1:23">
      <c r="A56" s="76" t="s">
        <v>14</v>
      </c>
      <c r="B56" s="6">
        <f t="shared" ref="B56:H56" si="25">+B53+B54+B55</f>
        <v>0</v>
      </c>
      <c r="C56" s="6">
        <f t="shared" si="25"/>
        <v>0</v>
      </c>
      <c r="D56" s="6">
        <f t="shared" si="25"/>
        <v>-579.34000000000015</v>
      </c>
      <c r="E56" s="6">
        <f t="shared" si="25"/>
        <v>517.86</v>
      </c>
      <c r="F56" s="6">
        <f t="shared" si="25"/>
        <v>218.97000000000003</v>
      </c>
      <c r="G56" s="6">
        <f t="shared" si="25"/>
        <v>-252.51</v>
      </c>
      <c r="H56" s="6">
        <f t="shared" si="25"/>
        <v>127.80000000000001</v>
      </c>
      <c r="I56" s="6">
        <v>3.9</v>
      </c>
      <c r="J56" s="180">
        <f>J53+J54+J55</f>
        <v>-20.590000000000003</v>
      </c>
      <c r="K56" s="217">
        <f>K53+K54+K55</f>
        <v>-144.03000000000003</v>
      </c>
      <c r="M56" s="77" t="s">
        <v>106</v>
      </c>
      <c r="N56" s="6"/>
      <c r="O56" s="6"/>
      <c r="P56" s="6">
        <v>23.12</v>
      </c>
      <c r="Q56" s="6">
        <v>44.56</v>
      </c>
      <c r="R56" s="6">
        <v>97.52</v>
      </c>
      <c r="S56" s="6">
        <v>91.83</v>
      </c>
      <c r="T56" s="6">
        <v>87.15</v>
      </c>
      <c r="U56" s="6">
        <v>97.13</v>
      </c>
      <c r="V56" s="180">
        <v>98.19</v>
      </c>
      <c r="W56" s="216">
        <v>117.82</v>
      </c>
    </row>
    <row r="57" spans="1:23" ht="12.75" thickBot="1">
      <c r="A57" s="78" t="s">
        <v>60</v>
      </c>
      <c r="B57" s="79">
        <f t="shared" ref="B57:I57" si="26">+B52+B56</f>
        <v>0</v>
      </c>
      <c r="C57" s="79">
        <f t="shared" si="26"/>
        <v>0</v>
      </c>
      <c r="D57" s="79">
        <f t="shared" si="26"/>
        <v>-559.33000000000015</v>
      </c>
      <c r="E57" s="79">
        <f t="shared" si="26"/>
        <v>-41.470000000000027</v>
      </c>
      <c r="F57" s="80">
        <f t="shared" si="26"/>
        <v>177.50000000000003</v>
      </c>
      <c r="G57" s="79">
        <f>+G52+G56</f>
        <v>-87.449999999999989</v>
      </c>
      <c r="H57" s="79">
        <f t="shared" si="26"/>
        <v>40.350000000000009</v>
      </c>
      <c r="I57" s="79">
        <f t="shared" si="26"/>
        <v>44.3</v>
      </c>
      <c r="J57" s="80">
        <f>J52+J56</f>
        <v>23.659999999999997</v>
      </c>
      <c r="K57" s="218">
        <f>K52+K56</f>
        <v>-120.33000000000003</v>
      </c>
      <c r="M57" s="77" t="s">
        <v>126</v>
      </c>
      <c r="N57" s="9"/>
      <c r="O57" s="9"/>
      <c r="P57" s="9"/>
      <c r="Q57" s="9"/>
      <c r="R57" s="35"/>
      <c r="S57" s="11">
        <v>12.2</v>
      </c>
      <c r="T57" s="11">
        <v>15.44</v>
      </c>
      <c r="U57" s="11">
        <v>20.62</v>
      </c>
      <c r="V57" s="23">
        <v>18.46</v>
      </c>
      <c r="W57" s="216">
        <v>19.34</v>
      </c>
    </row>
    <row r="58" spans="1:23" ht="12.75" thickBot="1">
      <c r="A58" s="182"/>
      <c r="B58" s="183"/>
      <c r="C58" s="183"/>
      <c r="D58" s="183"/>
      <c r="E58" s="183"/>
      <c r="F58" s="183"/>
      <c r="G58" s="184"/>
      <c r="H58" s="184"/>
      <c r="I58" s="184"/>
      <c r="J58" s="183"/>
      <c r="K58" s="185"/>
      <c r="M58" s="178"/>
      <c r="W58" s="216"/>
    </row>
    <row r="59" spans="1:23">
      <c r="A59" s="81" t="s">
        <v>15</v>
      </c>
      <c r="B59" s="75" t="s">
        <v>25</v>
      </c>
      <c r="C59" s="75" t="s">
        <v>26</v>
      </c>
      <c r="D59" s="75" t="s">
        <v>27</v>
      </c>
      <c r="E59" s="75" t="s">
        <v>28</v>
      </c>
      <c r="F59" s="75" t="s">
        <v>69</v>
      </c>
      <c r="G59" s="75" t="s">
        <v>76</v>
      </c>
      <c r="H59" s="75" t="s">
        <v>108</v>
      </c>
      <c r="I59" s="75" t="s">
        <v>197</v>
      </c>
      <c r="J59" s="101" t="s">
        <v>202</v>
      </c>
      <c r="K59" s="114" t="s">
        <v>253</v>
      </c>
      <c r="M59" s="77" t="s">
        <v>181</v>
      </c>
      <c r="N59" s="6"/>
      <c r="O59" s="6"/>
      <c r="P59" s="6"/>
      <c r="Q59" s="6"/>
      <c r="R59" s="6"/>
      <c r="S59" s="6">
        <v>42.95</v>
      </c>
      <c r="T59" s="6">
        <v>45.33</v>
      </c>
      <c r="U59" s="6">
        <v>47.77</v>
      </c>
      <c r="V59" s="188">
        <v>0</v>
      </c>
      <c r="W59" s="216">
        <v>0</v>
      </c>
    </row>
    <row r="60" spans="1:23">
      <c r="A60" s="82" t="s">
        <v>21</v>
      </c>
      <c r="B60" s="10" t="e">
        <f>SUM(#REF!)</f>
        <v>#REF!</v>
      </c>
      <c r="C60" s="10" t="e">
        <f>SUM(#REF!)</f>
        <v>#REF!</v>
      </c>
      <c r="D60" s="10" t="e">
        <f>SUM(#REF!)</f>
        <v>#REF!</v>
      </c>
      <c r="E60" s="10" t="e">
        <f>SUM(#REF!)</f>
        <v>#REF!</v>
      </c>
      <c r="F60" s="10">
        <f>F53</f>
        <v>2209.0500000000002</v>
      </c>
      <c r="G60" s="10">
        <f t="shared" ref="G60:K60" si="27">G53</f>
        <v>547.70000000000005</v>
      </c>
      <c r="H60" s="10">
        <f t="shared" si="27"/>
        <v>-22.81</v>
      </c>
      <c r="I60" s="10">
        <f t="shared" si="27"/>
        <v>566.39</v>
      </c>
      <c r="J60" s="18">
        <f t="shared" si="27"/>
        <v>-51.13</v>
      </c>
      <c r="K60" s="203">
        <f t="shared" si="27"/>
        <v>270.95999999999998</v>
      </c>
      <c r="M60" s="178"/>
      <c r="W60" s="171"/>
    </row>
    <row r="61" spans="1:23">
      <c r="A61" s="77" t="s">
        <v>22</v>
      </c>
      <c r="B61" s="38"/>
      <c r="C61" s="14">
        <f>-(O15-N15)</f>
        <v>0</v>
      </c>
      <c r="D61" s="24">
        <f>-261.33+3.88</f>
        <v>-257.45</v>
      </c>
      <c r="E61" s="24">
        <f>-156.85</f>
        <v>-156.85</v>
      </c>
      <c r="F61" s="24">
        <f>-170.2+15.49</f>
        <v>-154.70999999999998</v>
      </c>
      <c r="G61" s="24">
        <f>-2076.5+49.8</f>
        <v>-2026.7</v>
      </c>
      <c r="H61" s="24">
        <f>-93.67+18.36</f>
        <v>-75.31</v>
      </c>
      <c r="I61" s="24">
        <v>-129.80000000000001</v>
      </c>
      <c r="J61" s="181">
        <f>-128.45</f>
        <v>-128.44999999999999</v>
      </c>
      <c r="K61" s="208">
        <v>-121.28</v>
      </c>
      <c r="M61" s="82" t="s">
        <v>71</v>
      </c>
      <c r="N61" s="10">
        <f>SUM(N15:N24)+N30</f>
        <v>0</v>
      </c>
      <c r="O61" s="10">
        <f>SUM(O15:O24)+O30</f>
        <v>0</v>
      </c>
      <c r="P61" s="10">
        <f>SUM(P15:P29)+P30</f>
        <v>10193.02</v>
      </c>
      <c r="Q61" s="10">
        <f>SUM(Q15:Q29)+Q30</f>
        <v>10336.32</v>
      </c>
      <c r="R61" s="10">
        <f t="shared" ref="R61:W61" si="28">R14+R30+R41</f>
        <v>10330.580000000002</v>
      </c>
      <c r="S61" s="10">
        <f t="shared" si="28"/>
        <v>6174.81</v>
      </c>
      <c r="T61" s="10">
        <f t="shared" si="28"/>
        <v>6747.49</v>
      </c>
      <c r="U61" s="10">
        <f t="shared" si="28"/>
        <v>6693.510000000002</v>
      </c>
      <c r="V61" s="18">
        <f t="shared" si="28"/>
        <v>7738.8399999999983</v>
      </c>
      <c r="W61" s="203">
        <f t="shared" si="28"/>
        <v>8451.64</v>
      </c>
    </row>
    <row r="62" spans="1:23" ht="12.75" thickBot="1">
      <c r="A62" s="83" t="s">
        <v>23</v>
      </c>
      <c r="B62" s="84" t="e">
        <f t="shared" ref="B62:K62" si="29">SUM(B60:B61)</f>
        <v>#REF!</v>
      </c>
      <c r="C62" s="79" t="e">
        <f t="shared" si="29"/>
        <v>#REF!</v>
      </c>
      <c r="D62" s="79" t="e">
        <f t="shared" si="29"/>
        <v>#REF!</v>
      </c>
      <c r="E62" s="79" t="e">
        <f t="shared" si="29"/>
        <v>#REF!</v>
      </c>
      <c r="F62" s="79">
        <f t="shared" si="29"/>
        <v>2054.34</v>
      </c>
      <c r="G62" s="79">
        <f t="shared" si="29"/>
        <v>-1479</v>
      </c>
      <c r="H62" s="79">
        <f t="shared" si="29"/>
        <v>-98.12</v>
      </c>
      <c r="I62" s="79">
        <f t="shared" si="29"/>
        <v>436.59</v>
      </c>
      <c r="J62" s="80">
        <f t="shared" si="29"/>
        <v>-179.57999999999998</v>
      </c>
      <c r="K62" s="218">
        <f t="shared" si="29"/>
        <v>149.67999999999998</v>
      </c>
      <c r="M62" s="83" t="s">
        <v>72</v>
      </c>
      <c r="N62" s="79">
        <f>N56+N43+N10+N6+N53+N57+N54</f>
        <v>0</v>
      </c>
      <c r="O62" s="79">
        <f>O56+O43+O10+O6+O53+O57+O54</f>
        <v>0</v>
      </c>
      <c r="P62" s="79">
        <f>P56+P43+P10+P6+P53+P57+P54+P55</f>
        <v>10193.02</v>
      </c>
      <c r="Q62" s="79">
        <f>Q56+Q43+Q10+Q6+Q53+Q57+Q54+Q55</f>
        <v>10336.32</v>
      </c>
      <c r="R62" s="79">
        <f>R56+R43+R10+R6+R53+R57+R54+R55</f>
        <v>10331.329999999998</v>
      </c>
      <c r="S62" s="79">
        <f>S56+S43+S10+S6+S53+S57+S54+S55+S59</f>
        <v>6174.86</v>
      </c>
      <c r="T62" s="79">
        <f>T56+T43+T10+T6+T53+T57+T54+T55+T7+T59</f>
        <v>6747.4800000000005</v>
      </c>
      <c r="U62" s="79">
        <f>U56+U43+U10+U6+U53+U57+U54+U55+U7+U59</f>
        <v>6693.4700000000012</v>
      </c>
      <c r="V62" s="80">
        <f>V56+V43+V10+V6+V53+V57+V54+V55+V7+V59</f>
        <v>7738.84</v>
      </c>
      <c r="W62" s="218">
        <f>W56+W43+W10+W6+W53+W57+W54+W55+W7+W59</f>
        <v>8451.6400000000012</v>
      </c>
    </row>
    <row r="63" spans="1:23">
      <c r="A63" s="2" t="s">
        <v>24</v>
      </c>
      <c r="G63" s="48"/>
      <c r="H63" s="48"/>
      <c r="I63" s="48"/>
    </row>
    <row r="64" spans="1:23" ht="12.75" thickBot="1">
      <c r="L64" s="19"/>
      <c r="M64" s="19" t="s">
        <v>39</v>
      </c>
    </row>
    <row r="65" spans="1:23" ht="12.75">
      <c r="A65" s="172" t="s">
        <v>61</v>
      </c>
      <c r="B65" s="173"/>
      <c r="C65" s="173"/>
      <c r="D65" s="174">
        <v>111695680</v>
      </c>
      <c r="E65" s="174">
        <v>111695680</v>
      </c>
      <c r="F65" s="175">
        <v>111695680</v>
      </c>
      <c r="G65" s="175">
        <v>111695680</v>
      </c>
      <c r="H65" s="175">
        <v>111695680</v>
      </c>
      <c r="I65" s="175">
        <v>111695680</v>
      </c>
      <c r="J65" s="175">
        <v>111695680</v>
      </c>
      <c r="K65" s="226">
        <v>111695680</v>
      </c>
      <c r="L65" s="19"/>
      <c r="M65" s="74" t="s">
        <v>40</v>
      </c>
      <c r="N65" s="90" t="s">
        <v>25</v>
      </c>
      <c r="O65" s="90" t="s">
        <v>26</v>
      </c>
      <c r="P65" s="75" t="s">
        <v>27</v>
      </c>
      <c r="Q65" s="75" t="s">
        <v>28</v>
      </c>
      <c r="R65" s="75" t="s">
        <v>69</v>
      </c>
      <c r="S65" s="75" t="s">
        <v>76</v>
      </c>
      <c r="T65" s="101" t="s">
        <v>108</v>
      </c>
      <c r="U65" s="75" t="s">
        <v>197</v>
      </c>
      <c r="V65" s="101" t="s">
        <v>202</v>
      </c>
      <c r="W65" s="114" t="s">
        <v>253</v>
      </c>
    </row>
    <row r="66" spans="1:23">
      <c r="A66" s="77" t="s">
        <v>62</v>
      </c>
      <c r="B66" s="14">
        <f>B65*N66/1000000</f>
        <v>0</v>
      </c>
      <c r="C66" s="14">
        <f>C65*O66/1000000</f>
        <v>0</v>
      </c>
      <c r="D66" s="14">
        <f t="shared" ref="D66:K66" si="30">D65*P66/10000000</f>
        <v>5905.350601600001</v>
      </c>
      <c r="E66" s="14">
        <f t="shared" si="30"/>
        <v>11764.905974400001</v>
      </c>
      <c r="F66" s="14">
        <f t="shared" si="30"/>
        <v>13179.531761599999</v>
      </c>
      <c r="G66" s="14">
        <f t="shared" si="30"/>
        <v>10329.6164864</v>
      </c>
      <c r="H66" s="14">
        <f t="shared" si="30"/>
        <v>3303.9582144000001</v>
      </c>
      <c r="I66" s="14">
        <f t="shared" si="30"/>
        <v>5190.4982496000002</v>
      </c>
      <c r="J66" s="14">
        <f t="shared" si="30"/>
        <v>9531.5508527999991</v>
      </c>
      <c r="K66" s="219">
        <f t="shared" si="30"/>
        <v>7082.0645904000003</v>
      </c>
      <c r="L66" s="19"/>
      <c r="M66" s="91" t="s">
        <v>41</v>
      </c>
      <c r="N66" s="40"/>
      <c r="O66" s="40"/>
      <c r="P66" s="40">
        <v>528.70000000000005</v>
      </c>
      <c r="Q66" s="40">
        <v>1053.3</v>
      </c>
      <c r="R66" s="40">
        <v>1179.95</v>
      </c>
      <c r="S66" s="40">
        <v>924.8</v>
      </c>
      <c r="T66" s="102">
        <v>295.8</v>
      </c>
      <c r="U66" s="113">
        <v>464.7</v>
      </c>
      <c r="V66" s="102">
        <v>853.35</v>
      </c>
      <c r="W66" s="224">
        <v>634.04999999999995</v>
      </c>
    </row>
    <row r="67" spans="1:23">
      <c r="A67" s="77" t="s">
        <v>65</v>
      </c>
      <c r="B67" s="14">
        <f t="shared" ref="B67:K67" si="31">N10</f>
        <v>0</v>
      </c>
      <c r="C67" s="14">
        <f t="shared" si="31"/>
        <v>0</v>
      </c>
      <c r="D67" s="14">
        <f t="shared" si="31"/>
        <v>4702.24</v>
      </c>
      <c r="E67" s="14">
        <f t="shared" si="31"/>
        <v>4713.7999999999993</v>
      </c>
      <c r="F67" s="14">
        <f t="shared" si="31"/>
        <v>3854.99</v>
      </c>
      <c r="G67" s="14">
        <f t="shared" si="31"/>
        <v>902.02</v>
      </c>
      <c r="H67" s="14">
        <f t="shared" si="31"/>
        <v>583.76</v>
      </c>
      <c r="I67" s="14">
        <f t="shared" si="31"/>
        <v>873.45</v>
      </c>
      <c r="J67" s="14">
        <f t="shared" si="31"/>
        <v>1315.56</v>
      </c>
      <c r="K67" s="219">
        <f t="shared" si="31"/>
        <v>1037.71</v>
      </c>
      <c r="L67" s="19"/>
      <c r="M67" s="92" t="s">
        <v>195</v>
      </c>
      <c r="N67" s="41" t="e">
        <f>#REF!</f>
        <v>#REF!</v>
      </c>
      <c r="O67" s="41" t="e">
        <f>#REF!</f>
        <v>#REF!</v>
      </c>
      <c r="P67" s="41">
        <f t="shared" ref="P67:W67" si="32">D46</f>
        <v>-9.1</v>
      </c>
      <c r="Q67" s="41">
        <f t="shared" si="32"/>
        <v>11.09</v>
      </c>
      <c r="R67" s="41">
        <f t="shared" si="32"/>
        <v>25.03</v>
      </c>
      <c r="S67" s="41">
        <f t="shared" si="32"/>
        <v>44.72</v>
      </c>
      <c r="T67" s="103">
        <f t="shared" si="32"/>
        <v>34.28</v>
      </c>
      <c r="U67" s="103">
        <f t="shared" si="32"/>
        <v>-1.1000000000000001</v>
      </c>
      <c r="V67" s="103">
        <f t="shared" si="32"/>
        <v>14.23</v>
      </c>
      <c r="W67" s="220">
        <f t="shared" si="32"/>
        <v>24.34</v>
      </c>
    </row>
    <row r="68" spans="1:23">
      <c r="A68" s="77" t="s">
        <v>63</v>
      </c>
      <c r="B68" s="14">
        <f>N35</f>
        <v>0</v>
      </c>
      <c r="C68" s="14">
        <f>O35</f>
        <v>0</v>
      </c>
      <c r="D68" s="14">
        <f>P35+P34</f>
        <v>101.78999999999999</v>
      </c>
      <c r="E68" s="14">
        <f>Q35+Q34</f>
        <v>89.210000000000008</v>
      </c>
      <c r="F68" s="14">
        <f>R35+R34</f>
        <v>249.75</v>
      </c>
      <c r="G68" s="14">
        <f>S35+S34</f>
        <v>58.54</v>
      </c>
      <c r="H68" s="14">
        <f>T35+T34</f>
        <v>119.35</v>
      </c>
      <c r="I68" s="14">
        <f t="shared" ref="I68:K68" si="33">U35+U34</f>
        <v>124.93</v>
      </c>
      <c r="J68" s="14">
        <f t="shared" si="33"/>
        <v>65.81</v>
      </c>
      <c r="K68" s="219">
        <f t="shared" si="33"/>
        <v>151.13</v>
      </c>
      <c r="L68" s="19"/>
      <c r="M68" s="93" t="s">
        <v>43</v>
      </c>
      <c r="N68" s="43">
        <v>0</v>
      </c>
      <c r="O68" s="43">
        <v>0</v>
      </c>
      <c r="P68" s="43">
        <f t="shared" ref="P68:W68" si="34">P6/(D65/10000000)</f>
        <v>211.62412010921102</v>
      </c>
      <c r="Q68" s="43">
        <f t="shared" si="34"/>
        <v>222.1983876189303</v>
      </c>
      <c r="R68" s="43">
        <f t="shared" si="34"/>
        <v>246.01578145188785</v>
      </c>
      <c r="S68" s="43">
        <f t="shared" si="34"/>
        <v>294.91650885692269</v>
      </c>
      <c r="T68" s="104">
        <f t="shared" si="34"/>
        <v>311.51518124962399</v>
      </c>
      <c r="U68" s="104">
        <f t="shared" si="34"/>
        <v>313.74176691524684</v>
      </c>
      <c r="V68" s="104">
        <f t="shared" si="34"/>
        <v>332.94215138848705</v>
      </c>
      <c r="W68" s="221">
        <f t="shared" si="34"/>
        <v>347.98391486582113</v>
      </c>
    </row>
    <row r="69" spans="1:23" ht="12.75" thickBot="1">
      <c r="A69" s="96" t="s">
        <v>64</v>
      </c>
      <c r="B69" s="79">
        <f t="shared" ref="B69:G69" si="35">B66+B67-B68</f>
        <v>0</v>
      </c>
      <c r="C69" s="79">
        <f t="shared" si="35"/>
        <v>0</v>
      </c>
      <c r="D69" s="79">
        <f t="shared" si="35"/>
        <v>10505.8006016</v>
      </c>
      <c r="E69" s="79">
        <f t="shared" si="35"/>
        <v>16389.495974400001</v>
      </c>
      <c r="F69" s="79">
        <f t="shared" si="35"/>
        <v>16784.771761600001</v>
      </c>
      <c r="G69" s="79">
        <f t="shared" si="35"/>
        <v>11173.0964864</v>
      </c>
      <c r="H69" s="79">
        <f>H66+H67-H68</f>
        <v>3768.3682143999999</v>
      </c>
      <c r="I69" s="79">
        <f>I66+I67-I68</f>
        <v>5939.0182495999998</v>
      </c>
      <c r="J69" s="79">
        <f>J66+J67-J68</f>
        <v>10781.300852799999</v>
      </c>
      <c r="K69" s="218">
        <f>K66+K67-K68</f>
        <v>7968.6445904000002</v>
      </c>
      <c r="L69" s="19"/>
      <c r="M69" s="94" t="s">
        <v>44</v>
      </c>
      <c r="N69" s="8"/>
      <c r="O69" s="8"/>
      <c r="P69" s="8">
        <v>0</v>
      </c>
      <c r="Q69" s="8">
        <v>0</v>
      </c>
      <c r="R69" s="8">
        <v>6</v>
      </c>
      <c r="S69" s="8">
        <v>7.5</v>
      </c>
      <c r="T69" s="105">
        <v>3</v>
      </c>
      <c r="U69" s="105">
        <v>1</v>
      </c>
      <c r="V69" s="105">
        <v>4</v>
      </c>
      <c r="W69" s="225">
        <v>5</v>
      </c>
    </row>
    <row r="70" spans="1:23">
      <c r="J70" s="53"/>
      <c r="K70" s="72"/>
      <c r="L70" s="19"/>
      <c r="M70" s="94" t="s">
        <v>45</v>
      </c>
      <c r="N70" s="43" t="e">
        <f t="shared" ref="N70:S70" si="36">(N66/N67)</f>
        <v>#REF!</v>
      </c>
      <c r="O70" s="43" t="e">
        <f t="shared" si="36"/>
        <v>#REF!</v>
      </c>
      <c r="P70" s="43">
        <f t="shared" si="36"/>
        <v>-58.098901098901109</v>
      </c>
      <c r="Q70" s="43">
        <f t="shared" si="36"/>
        <v>94.977457168620376</v>
      </c>
      <c r="R70" s="43">
        <f t="shared" si="36"/>
        <v>47.141430283659609</v>
      </c>
      <c r="S70" s="43">
        <f t="shared" si="36"/>
        <v>20.679785330948121</v>
      </c>
      <c r="T70" s="104">
        <f>(T66/T67)</f>
        <v>8.6289381563593928</v>
      </c>
      <c r="U70" s="104">
        <f>(U66/U67)</f>
        <v>-422.45454545454538</v>
      </c>
      <c r="V70" s="104">
        <f>(V66/V67)</f>
        <v>59.968376669009139</v>
      </c>
      <c r="W70" s="221">
        <f>(W66/W67)</f>
        <v>26.049712407559571</v>
      </c>
    </row>
    <row r="71" spans="1:23">
      <c r="J71" s="53"/>
      <c r="K71" s="72"/>
      <c r="L71" s="19"/>
      <c r="M71" s="94" t="s">
        <v>46</v>
      </c>
      <c r="N71" s="43">
        <v>0</v>
      </c>
      <c r="O71" s="43">
        <v>0</v>
      </c>
      <c r="P71" s="43">
        <f t="shared" ref="P71:W71" si="37">(P66/P68)</f>
        <v>2.4982974517609735</v>
      </c>
      <c r="Q71" s="43">
        <f t="shared" si="37"/>
        <v>4.7403584305319395</v>
      </c>
      <c r="R71" s="43">
        <f t="shared" si="37"/>
        <v>4.7962370260818306</v>
      </c>
      <c r="S71" s="43">
        <f t="shared" si="37"/>
        <v>3.1358027517159517</v>
      </c>
      <c r="T71" s="104">
        <f t="shared" si="37"/>
        <v>0.94955243854702842</v>
      </c>
      <c r="U71" s="104">
        <f t="shared" si="37"/>
        <v>1.4811544046844503</v>
      </c>
      <c r="V71" s="104">
        <f t="shared" si="37"/>
        <v>2.5630578658821883</v>
      </c>
      <c r="W71" s="221">
        <f t="shared" si="37"/>
        <v>1.8220669775626923</v>
      </c>
    </row>
    <row r="72" spans="1:23">
      <c r="J72" s="61"/>
      <c r="K72" s="65"/>
      <c r="L72" s="19"/>
      <c r="M72" s="94" t="s">
        <v>47</v>
      </c>
      <c r="N72" s="43" t="e">
        <f t="shared" ref="N72:U72" si="38">B69/B16</f>
        <v>#DIV/0!</v>
      </c>
      <c r="O72" s="43" t="e">
        <f t="shared" si="38"/>
        <v>#DIV/0!</v>
      </c>
      <c r="P72" s="43">
        <f t="shared" si="38"/>
        <v>14.426883181499823</v>
      </c>
      <c r="Q72" s="43">
        <f t="shared" si="38"/>
        <v>16.312988060396748</v>
      </c>
      <c r="R72" s="43">
        <f t="shared" si="38"/>
        <v>19.719415119716164</v>
      </c>
      <c r="S72" s="43">
        <f t="shared" si="38"/>
        <v>10.531417234313293</v>
      </c>
      <c r="T72" s="104">
        <f t="shared" si="38"/>
        <v>6.2799856920974619</v>
      </c>
      <c r="U72" s="104">
        <f t="shared" si="38"/>
        <v>20.816748158429721</v>
      </c>
      <c r="V72" s="104">
        <f>J69/4355</f>
        <v>2.4756144323306541</v>
      </c>
      <c r="W72" s="221">
        <f>K69/4355</f>
        <v>1.8297691367164179</v>
      </c>
    </row>
    <row r="73" spans="1:23" ht="14.45" customHeight="1">
      <c r="J73" s="61"/>
      <c r="K73" s="65"/>
      <c r="L73" s="19"/>
      <c r="M73" s="95" t="s">
        <v>48</v>
      </c>
      <c r="N73" s="34" t="e">
        <f>(#REF!/N6)</f>
        <v>#REF!</v>
      </c>
      <c r="O73" s="34" t="e">
        <f>(#REF!/O6)</f>
        <v>#REF!</v>
      </c>
      <c r="P73" s="34">
        <f t="shared" ref="P73:W73" si="39">(D30/P6)</f>
        <v>-4.0190375462717719E-2</v>
      </c>
      <c r="Q73" s="34">
        <f t="shared" si="39"/>
        <v>4.9918206506410379E-2</v>
      </c>
      <c r="R73" s="34">
        <f t="shared" si="39"/>
        <v>0.10171440632630852</v>
      </c>
      <c r="S73" s="34">
        <f t="shared" si="39"/>
        <v>0.15162609400471749</v>
      </c>
      <c r="T73" s="106">
        <f t="shared" si="39"/>
        <v>0.10865960241299713</v>
      </c>
      <c r="U73" s="106">
        <f t="shared" si="39"/>
        <v>-4.3089180335353673E-3</v>
      </c>
      <c r="V73" s="106">
        <f t="shared" si="39"/>
        <v>4.1454009605197524E-2</v>
      </c>
      <c r="W73" s="222">
        <f t="shared" si="39"/>
        <v>6.8063177447946099E-2</v>
      </c>
    </row>
    <row r="74" spans="1:23" ht="14.45" customHeight="1">
      <c r="J74" s="53"/>
      <c r="K74" s="70"/>
      <c r="L74" s="19"/>
      <c r="M74" s="95" t="s">
        <v>49</v>
      </c>
      <c r="N74" s="34" t="e">
        <f t="shared" ref="N74:W74" si="40">(B16-B20)/N11</f>
        <v>#DIV/0!</v>
      </c>
      <c r="O74" s="34" t="e">
        <f t="shared" si="40"/>
        <v>#DIV/0!</v>
      </c>
      <c r="P74" s="34">
        <f t="shared" si="40"/>
        <v>6.2994711286033664E-2</v>
      </c>
      <c r="Q74" s="34">
        <f t="shared" si="40"/>
        <v>9.6078747467223252E-2</v>
      </c>
      <c r="R74" s="34">
        <f t="shared" si="40"/>
        <v>0.10387605052059928</v>
      </c>
      <c r="S74" s="34">
        <f t="shared" si="40"/>
        <v>0.17782681385685831</v>
      </c>
      <c r="T74" s="106">
        <f t="shared" si="40"/>
        <v>7.6341807764472219E-2</v>
      </c>
      <c r="U74" s="106">
        <f t="shared" si="40"/>
        <v>1.0412561966949683E-2</v>
      </c>
      <c r="V74" s="106">
        <f t="shared" si="40"/>
        <v>5.2462410889866022E-2</v>
      </c>
      <c r="W74" s="222">
        <f t="shared" si="40"/>
        <v>6.461297660867138E-2</v>
      </c>
    </row>
    <row r="75" spans="1:23" ht="14.45" customHeight="1">
      <c r="J75" s="53"/>
      <c r="K75" s="71"/>
      <c r="L75" s="19"/>
      <c r="M75" s="94" t="s">
        <v>50</v>
      </c>
      <c r="N75" s="47" t="e">
        <f t="shared" ref="N75:W75" si="41">(N10/N6)</f>
        <v>#DIV/0!</v>
      </c>
      <c r="O75" s="47" t="e">
        <f t="shared" si="41"/>
        <v>#DIV/0!</v>
      </c>
      <c r="P75" s="47">
        <f t="shared" si="41"/>
        <v>1.989313590692755</v>
      </c>
      <c r="Q75" s="47">
        <f t="shared" si="41"/>
        <v>1.8993013304537723</v>
      </c>
      <c r="R75" s="47">
        <f t="shared" si="41"/>
        <v>1.4028909454163012</v>
      </c>
      <c r="S75" s="47">
        <f t="shared" si="41"/>
        <v>0.27382979821437786</v>
      </c>
      <c r="T75" s="107">
        <f t="shared" si="41"/>
        <v>0.16777171367068161</v>
      </c>
      <c r="U75" s="107">
        <f t="shared" si="41"/>
        <v>0.24924665274115673</v>
      </c>
      <c r="V75" s="107">
        <f t="shared" si="41"/>
        <v>0.35375737465109897</v>
      </c>
      <c r="W75" s="223">
        <f t="shared" si="41"/>
        <v>0.26698106168780217</v>
      </c>
    </row>
    <row r="76" spans="1:23" ht="14.45" customHeight="1">
      <c r="J76" s="36"/>
      <c r="L76" s="19"/>
      <c r="M76" s="94" t="s">
        <v>51</v>
      </c>
      <c r="N76" s="47" t="e">
        <f t="shared" ref="N76:W76" si="42">(N10-N35-N34)/N6</f>
        <v>#DIV/0!</v>
      </c>
      <c r="O76" s="47" t="e">
        <f t="shared" si="42"/>
        <v>#DIV/0!</v>
      </c>
      <c r="P76" s="47">
        <f t="shared" si="42"/>
        <v>1.946250661025912</v>
      </c>
      <c r="Q76" s="47">
        <f t="shared" si="42"/>
        <v>1.8633565148719102</v>
      </c>
      <c r="R76" s="47">
        <f t="shared" si="42"/>
        <v>1.3120030277776766</v>
      </c>
      <c r="S76" s="47">
        <f t="shared" si="42"/>
        <v>0.25605857763449086</v>
      </c>
      <c r="T76" s="107">
        <f t="shared" si="42"/>
        <v>0.13347070978792869</v>
      </c>
      <c r="U76" s="107">
        <f t="shared" si="42"/>
        <v>0.21359677658688037</v>
      </c>
      <c r="V76" s="107">
        <f t="shared" si="42"/>
        <v>0.33606090103850145</v>
      </c>
      <c r="W76" s="223">
        <f t="shared" si="42"/>
        <v>0.22809847613608006</v>
      </c>
    </row>
    <row r="77" spans="1:23" ht="14.45" customHeight="1">
      <c r="J77" s="55"/>
      <c r="L77" s="19"/>
      <c r="M77" s="94" t="s">
        <v>52</v>
      </c>
      <c r="N77" s="7" t="e">
        <f t="shared" ref="N77:S77" si="43">(N69/N66)</f>
        <v>#DIV/0!</v>
      </c>
      <c r="O77" s="7" t="e">
        <f t="shared" si="43"/>
        <v>#DIV/0!</v>
      </c>
      <c r="P77" s="7">
        <f t="shared" si="43"/>
        <v>0</v>
      </c>
      <c r="Q77" s="7">
        <f t="shared" si="43"/>
        <v>0</v>
      </c>
      <c r="R77" s="7">
        <f t="shared" si="43"/>
        <v>5.0849612271706424E-3</v>
      </c>
      <c r="S77" s="7">
        <f t="shared" si="43"/>
        <v>8.1098615916955028E-3</v>
      </c>
      <c r="T77" s="108">
        <f>(T69/T66)</f>
        <v>1.0141987829614604E-2</v>
      </c>
      <c r="U77" s="108">
        <f>(U69/U66)</f>
        <v>2.151925973746503E-3</v>
      </c>
      <c r="V77" s="108">
        <f>(V69/V66)</f>
        <v>4.6874084490537296E-3</v>
      </c>
      <c r="W77" s="222">
        <f>(W69/W66)</f>
        <v>7.8858134216544442E-3</v>
      </c>
    </row>
    <row r="78" spans="1:23" ht="14.45" customHeight="1">
      <c r="J78" s="61"/>
      <c r="L78" s="19"/>
      <c r="M78" s="94" t="s">
        <v>53</v>
      </c>
      <c r="N78" s="16" t="e">
        <f>(AVERAGE(N33)/B6*365)</f>
        <v>#DIV/0!</v>
      </c>
      <c r="O78" s="16" t="e">
        <f t="shared" ref="O78:W78" si="44">(AVERAGE(N33:O33)/C6*365)</f>
        <v>#DIV/0!</v>
      </c>
      <c r="P78" s="16">
        <f t="shared" si="44"/>
        <v>21.747564651915383</v>
      </c>
      <c r="Q78" s="16">
        <f t="shared" si="44"/>
        <v>22.126825157790879</v>
      </c>
      <c r="R78" s="16">
        <f t="shared" si="44"/>
        <v>42.255079371440317</v>
      </c>
      <c r="S78" s="16">
        <f t="shared" si="44"/>
        <v>28.155231241395981</v>
      </c>
      <c r="T78" s="109">
        <f t="shared" si="44"/>
        <v>20.320401430624266</v>
      </c>
      <c r="U78" s="109">
        <f t="shared" si="44"/>
        <v>23.10653610634008</v>
      </c>
      <c r="V78" s="109">
        <f t="shared" si="44"/>
        <v>16.380800477238914</v>
      </c>
      <c r="W78" s="221">
        <f t="shared" si="44"/>
        <v>14.111021571645498</v>
      </c>
    </row>
    <row r="79" spans="1:23" ht="14.45" customHeight="1">
      <c r="J79" s="61"/>
      <c r="K79" s="55"/>
      <c r="L79" s="19"/>
      <c r="M79" s="94" t="s">
        <v>54</v>
      </c>
      <c r="N79" s="16" t="e">
        <f>AVERAGE(N44)/(B10+B11+B12)*365</f>
        <v>#DIV/0!</v>
      </c>
      <c r="O79" s="16" t="e">
        <f>AVERAGE(N44:O44)/(C10+C11+C12)*365</f>
        <v>#DIV/0!</v>
      </c>
      <c r="P79" s="69">
        <f t="shared" ref="P79:W79" si="45">AVERAGE(O46:P46)/(D9)*365</f>
        <v>27.577635096464736</v>
      </c>
      <c r="Q79" s="69">
        <f t="shared" si="45"/>
        <v>32.150916175161171</v>
      </c>
      <c r="R79" s="69">
        <f t="shared" si="45"/>
        <v>80.61291955281655</v>
      </c>
      <c r="S79" s="69">
        <f t="shared" si="45"/>
        <v>73.258343609331618</v>
      </c>
      <c r="T79" s="110">
        <f t="shared" si="45"/>
        <v>64.609227690768449</v>
      </c>
      <c r="U79" s="110">
        <f t="shared" si="45"/>
        <v>84.894646663044824</v>
      </c>
      <c r="V79" s="110">
        <f t="shared" si="45"/>
        <v>73.193270472325608</v>
      </c>
      <c r="W79" s="221">
        <f t="shared" si="45"/>
        <v>70.203841238484017</v>
      </c>
    </row>
    <row r="80" spans="1:23" ht="14.45" customHeight="1">
      <c r="J80" s="61"/>
      <c r="K80" s="53"/>
      <c r="L80" s="19"/>
      <c r="M80" s="94" t="s">
        <v>55</v>
      </c>
      <c r="N80" s="16" t="e">
        <f>(AVERAGE(N31:N31)/(B10+B11+B12)*365)</f>
        <v>#DIV/0!</v>
      </c>
      <c r="O80" s="16" t="e">
        <f>(AVERAGE(N31:O31)/(C10+C11+C12)*365)</f>
        <v>#DIV/0!</v>
      </c>
      <c r="P80" s="16">
        <f t="shared" ref="P80:W80" si="46">(AVERAGE(O31:P31)/(D9)*365)</f>
        <v>57.56618246415556</v>
      </c>
      <c r="Q80" s="16">
        <f t="shared" si="46"/>
        <v>62.009265520080881</v>
      </c>
      <c r="R80" s="16">
        <f t="shared" si="46"/>
        <v>141.92746797646939</v>
      </c>
      <c r="S80" s="16">
        <f t="shared" si="46"/>
        <v>114.50732854120923</v>
      </c>
      <c r="T80" s="109">
        <f t="shared" si="46"/>
        <v>130.0279860209825</v>
      </c>
      <c r="U80" s="109">
        <f t="shared" si="46"/>
        <v>217.05442141334782</v>
      </c>
      <c r="V80" s="109">
        <f t="shared" si="46"/>
        <v>190.06002403402744</v>
      </c>
      <c r="W80" s="221">
        <f t="shared" si="46"/>
        <v>238.65726350086135</v>
      </c>
    </row>
    <row r="81" spans="10:23" ht="14.45" customHeight="1">
      <c r="J81" s="61"/>
      <c r="K81" s="53"/>
      <c r="L81" s="19"/>
      <c r="M81" s="94" t="s">
        <v>68</v>
      </c>
      <c r="N81" s="16" t="e">
        <f t="shared" ref="N81:S81" si="47">(N80+N78-N79)</f>
        <v>#DIV/0!</v>
      </c>
      <c r="O81" s="16" t="e">
        <f t="shared" si="47"/>
        <v>#DIV/0!</v>
      </c>
      <c r="P81" s="16">
        <f t="shared" si="47"/>
        <v>51.73611201960621</v>
      </c>
      <c r="Q81" s="16">
        <f t="shared" si="47"/>
        <v>51.985174502710592</v>
      </c>
      <c r="R81" s="16">
        <f t="shared" si="47"/>
        <v>103.56962779509314</v>
      </c>
      <c r="S81" s="16">
        <f t="shared" si="47"/>
        <v>69.40421617327361</v>
      </c>
      <c r="T81" s="109">
        <f>(T80+T78-T79)</f>
        <v>85.739159760838305</v>
      </c>
      <c r="U81" s="109">
        <f>(U80+U78-U79)</f>
        <v>155.26631085664309</v>
      </c>
      <c r="V81" s="109">
        <f>(V80+V78-V79)</f>
        <v>133.24755403894073</v>
      </c>
      <c r="W81" s="221">
        <f>(W80+W78-W79)</f>
        <v>182.56444383402282</v>
      </c>
    </row>
    <row r="82" spans="10:23" ht="14.45" customHeight="1">
      <c r="J82" s="61"/>
      <c r="K82" s="53"/>
      <c r="M82" s="94" t="s">
        <v>56</v>
      </c>
      <c r="N82" s="16" t="e">
        <f>AVERAGE(N51:N51)/B6*365</f>
        <v>#DIV/0!</v>
      </c>
      <c r="O82" s="16" t="e">
        <f t="shared" ref="O82:W82" si="48">AVERAGE(N51:O51)/C6*365</f>
        <v>#DIV/0!</v>
      </c>
      <c r="P82" s="16">
        <f t="shared" si="48"/>
        <v>-42.96425580557667</v>
      </c>
      <c r="Q82" s="16">
        <f t="shared" si="48"/>
        <v>-91.851352021186713</v>
      </c>
      <c r="R82" s="16">
        <f t="shared" si="48"/>
        <v>-177.81205073360348</v>
      </c>
      <c r="S82" s="16">
        <f t="shared" si="48"/>
        <v>-82.840305772523408</v>
      </c>
      <c r="T82" s="109">
        <f t="shared" si="48"/>
        <v>-9.2869141827833452</v>
      </c>
      <c r="U82" s="109">
        <f t="shared" si="48"/>
        <v>35.408352624897319</v>
      </c>
      <c r="V82" s="109">
        <f t="shared" si="48"/>
        <v>30.635354251666854</v>
      </c>
      <c r="W82" s="221">
        <f t="shared" si="48"/>
        <v>26.284821127078629</v>
      </c>
    </row>
    <row r="83" spans="10:23" ht="15" customHeight="1">
      <c r="J83" s="53"/>
      <c r="K83" s="53"/>
      <c r="M83" s="77" t="s">
        <v>70</v>
      </c>
      <c r="N83" s="7" t="e">
        <f t="shared" ref="N83:V83" si="49">B21/N10</f>
        <v>#DIV/0!</v>
      </c>
      <c r="O83" s="7" t="e">
        <f t="shared" si="49"/>
        <v>#DIV/0!</v>
      </c>
      <c r="P83" s="7">
        <f t="shared" si="49"/>
        <v>0.12497235360168771</v>
      </c>
      <c r="Q83" s="7">
        <f t="shared" si="49"/>
        <v>0.116837795409224</v>
      </c>
      <c r="R83" s="7">
        <f t="shared" si="49"/>
        <v>5.4944370802518301E-2</v>
      </c>
      <c r="S83" s="7">
        <f t="shared" si="49"/>
        <v>0.11258065231369592</v>
      </c>
      <c r="T83" s="108">
        <f t="shared" si="49"/>
        <v>0.14918802247498972</v>
      </c>
      <c r="U83" s="108">
        <f t="shared" si="49"/>
        <v>8.0943385425611081E-2</v>
      </c>
      <c r="V83" s="108">
        <f t="shared" si="49"/>
        <v>3.9663717352306241E-2</v>
      </c>
      <c r="W83" s="222">
        <f>K21/W10</f>
        <v>5.193165720673406E-2</v>
      </c>
    </row>
    <row r="84" spans="10:23" ht="12.75" thickBot="1">
      <c r="J84" s="61"/>
      <c r="K84" s="53"/>
      <c r="M84" s="96" t="s">
        <v>109</v>
      </c>
      <c r="N84" s="97"/>
      <c r="O84" s="97"/>
      <c r="P84" s="98">
        <f t="shared" ref="P84:W84" si="50">D4/P15</f>
        <v>1.3811407706424339</v>
      </c>
      <c r="Q84" s="99">
        <f t="shared" si="50"/>
        <v>1.3541808754032862</v>
      </c>
      <c r="R84" s="99">
        <f t="shared" si="50"/>
        <v>0.64540773360325343</v>
      </c>
      <c r="S84" s="99">
        <f t="shared" si="50"/>
        <v>1.1279786506794656</v>
      </c>
      <c r="T84" s="111">
        <f t="shared" si="50"/>
        <v>1.010770784247728</v>
      </c>
      <c r="U84" s="111">
        <f t="shared" si="50"/>
        <v>0.80003669051550175</v>
      </c>
      <c r="V84" s="111">
        <f t="shared" si="50"/>
        <v>1.2857907662235391</v>
      </c>
      <c r="W84" s="225">
        <f t="shared" si="50"/>
        <v>1.5424774637250331</v>
      </c>
    </row>
    <row r="85" spans="10:23">
      <c r="J85" s="53"/>
      <c r="K85" s="61"/>
    </row>
    <row r="86" spans="10:23">
      <c r="J86" s="48"/>
      <c r="K86" s="61"/>
    </row>
    <row r="87" spans="10:23">
      <c r="K87" s="53"/>
    </row>
    <row r="88" spans="10:23" ht="12.75">
      <c r="J88" s="59"/>
      <c r="K88" s="53"/>
    </row>
    <row r="89" spans="10:23">
      <c r="J89" s="61"/>
      <c r="K89" s="36"/>
    </row>
    <row r="90" spans="10:23">
      <c r="J90" s="61"/>
      <c r="K90" s="55"/>
    </row>
    <row r="91" spans="10:23">
      <c r="J91" s="61"/>
      <c r="K91" s="61"/>
    </row>
    <row r="92" spans="10:23">
      <c r="J92" s="53"/>
      <c r="K92" s="61"/>
    </row>
    <row r="93" spans="10:23">
      <c r="K93" s="61"/>
    </row>
    <row r="94" spans="10:23">
      <c r="K94" s="61"/>
    </row>
    <row r="95" spans="10:23">
      <c r="K95" s="61"/>
    </row>
    <row r="96" spans="10:23">
      <c r="K96" s="53"/>
    </row>
    <row r="97" spans="11:18">
      <c r="K97" s="61"/>
    </row>
    <row r="98" spans="11:18">
      <c r="K98" s="53"/>
    </row>
    <row r="99" spans="11:18">
      <c r="K99" s="48"/>
      <c r="R99" s="2"/>
    </row>
    <row r="100" spans="11:18">
      <c r="R100" s="2"/>
    </row>
    <row r="101" spans="11:18" ht="12.75">
      <c r="K101" s="59"/>
      <c r="R101" s="2"/>
    </row>
    <row r="102" spans="11:18">
      <c r="K102" s="61"/>
      <c r="R102" s="2"/>
    </row>
    <row r="103" spans="11:18">
      <c r="K103" s="61"/>
    </row>
    <row r="104" spans="11:18">
      <c r="K104" s="61"/>
    </row>
    <row r="105" spans="11:18">
      <c r="K105" s="53"/>
    </row>
    <row r="117" spans="18:18">
      <c r="R117" s="2"/>
    </row>
    <row r="118" spans="18:18">
      <c r="R118" s="2"/>
    </row>
    <row r="119" spans="18:18">
      <c r="R119" s="2"/>
    </row>
    <row r="120" spans="18:18">
      <c r="R120" s="2"/>
    </row>
    <row r="121" spans="18:18">
      <c r="R121" s="2"/>
    </row>
    <row r="122" spans="18:18">
      <c r="R122" s="2"/>
    </row>
    <row r="123" spans="18:18">
      <c r="R123" s="2"/>
    </row>
    <row r="124" spans="18:18">
      <c r="R124" s="2"/>
    </row>
  </sheetData>
  <mergeCells count="3">
    <mergeCell ref="A2:J2"/>
    <mergeCell ref="A1:W1"/>
    <mergeCell ref="M2:W2"/>
  </mergeCells>
  <pageMargins left="0.7" right="0.7" top="0.75" bottom="0.75" header="0.3" footer="0.3"/>
  <pageSetup paperSize="9" scale="4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"/>
  <sheetViews>
    <sheetView zoomScale="80" zoomScaleNormal="80" workbookViewId="0">
      <selection activeCell="A13" sqref="A13"/>
    </sheetView>
  </sheetViews>
  <sheetFormatPr defaultColWidth="9.140625" defaultRowHeight="12"/>
  <cols>
    <col min="1" max="1" width="101.42578125" style="2" bestFit="1" customWidth="1"/>
    <col min="2" max="2" width="8.42578125" style="2" hidden="1" customWidth="1"/>
    <col min="3" max="3" width="10.140625" style="2" hidden="1" customWidth="1"/>
    <col min="4" max="4" width="11.140625" style="2" hidden="1" customWidth="1"/>
    <col min="5" max="8" width="12.42578125" style="2" bestFit="1" customWidth="1"/>
    <col min="9" max="9" width="11" style="2" customWidth="1"/>
    <col min="10" max="10" width="4.140625" style="2" customWidth="1"/>
    <col min="11" max="11" width="45.140625" style="2" bestFit="1" customWidth="1"/>
    <col min="12" max="12" width="13.85546875" style="2" hidden="1" customWidth="1"/>
    <col min="13" max="13" width="10.42578125" style="2" hidden="1" customWidth="1"/>
    <col min="14" max="14" width="13.85546875" style="2" hidden="1" customWidth="1"/>
    <col min="15" max="15" width="11.5703125" style="2" customWidth="1"/>
    <col min="16" max="16" width="11.5703125" style="3" customWidth="1"/>
    <col min="17" max="18" width="11.5703125" style="2" customWidth="1"/>
    <col min="19" max="19" width="9.5703125" style="2" bestFit="1" customWidth="1"/>
    <col min="20" max="16384" width="9.140625" style="2"/>
  </cols>
  <sheetData>
    <row r="1" spans="1:19" ht="15">
      <c r="A1" s="192" t="s">
        <v>172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9">
      <c r="A2" s="195" t="s">
        <v>75</v>
      </c>
      <c r="B2" s="195"/>
      <c r="C2" s="195"/>
      <c r="D2" s="195"/>
      <c r="E2" s="195"/>
      <c r="F2" s="195"/>
      <c r="G2" s="195"/>
      <c r="H2" s="195"/>
      <c r="I2" s="52"/>
      <c r="J2" s="19"/>
      <c r="K2" s="196" t="s">
        <v>74</v>
      </c>
      <c r="L2" s="197"/>
      <c r="M2" s="197"/>
      <c r="N2" s="197"/>
      <c r="O2" s="197"/>
      <c r="P2" s="197"/>
      <c r="Q2" s="197"/>
      <c r="R2" s="197"/>
    </row>
    <row r="3" spans="1:19" ht="15">
      <c r="A3" s="20" t="s">
        <v>167</v>
      </c>
      <c r="B3" s="17" t="s">
        <v>25</v>
      </c>
      <c r="C3" s="17" t="s">
        <v>26</v>
      </c>
      <c r="D3" s="17" t="s">
        <v>27</v>
      </c>
      <c r="E3" s="17" t="s">
        <v>28</v>
      </c>
      <c r="F3" s="17" t="s">
        <v>69</v>
      </c>
      <c r="G3" s="17" t="s">
        <v>76</v>
      </c>
      <c r="H3" s="17" t="s">
        <v>108</v>
      </c>
      <c r="I3" s="17" t="s">
        <v>125</v>
      </c>
      <c r="J3" s="19"/>
      <c r="K3" s="20" t="s">
        <v>0</v>
      </c>
      <c r="L3" s="4" t="s">
        <v>25</v>
      </c>
      <c r="M3" s="4" t="s">
        <v>26</v>
      </c>
      <c r="N3" s="4" t="s">
        <v>27</v>
      </c>
      <c r="O3" s="4" t="s">
        <v>28</v>
      </c>
      <c r="P3" s="5" t="s">
        <v>69</v>
      </c>
      <c r="Q3" s="4" t="s">
        <v>76</v>
      </c>
      <c r="R3" s="50" t="s">
        <v>108</v>
      </c>
    </row>
    <row r="4" spans="1:19">
      <c r="A4" s="20" t="s">
        <v>77</v>
      </c>
      <c r="B4" s="1"/>
      <c r="C4" s="1"/>
      <c r="D4" s="1"/>
      <c r="E4" s="1">
        <v>8398.86</v>
      </c>
      <c r="F4" s="1">
        <v>3946.92</v>
      </c>
      <c r="G4" s="1">
        <v>3943.56</v>
      </c>
      <c r="H4" s="1">
        <v>3424.26</v>
      </c>
      <c r="I4" s="1">
        <f>393.39+6.06</f>
        <v>399.45</v>
      </c>
      <c r="J4" s="22"/>
      <c r="K4" s="6" t="s">
        <v>78</v>
      </c>
      <c r="L4" s="6"/>
      <c r="M4" s="6"/>
      <c r="N4" s="6"/>
      <c r="O4" s="6">
        <v>111.69</v>
      </c>
      <c r="P4" s="6">
        <v>111.69</v>
      </c>
      <c r="Q4" s="6">
        <v>111.69</v>
      </c>
      <c r="R4" s="6">
        <v>111.69</v>
      </c>
    </row>
    <row r="5" spans="1:19">
      <c r="A5" s="6" t="s">
        <v>5</v>
      </c>
      <c r="B5" s="1"/>
      <c r="C5" s="1"/>
      <c r="D5" s="1"/>
      <c r="E5" s="1">
        <v>74.38</v>
      </c>
      <c r="F5" s="1">
        <v>45.7</v>
      </c>
      <c r="G5" s="1">
        <v>109.67</v>
      </c>
      <c r="H5" s="1">
        <v>43.37</v>
      </c>
      <c r="I5" s="1">
        <v>13.31</v>
      </c>
      <c r="K5" s="6" t="s">
        <v>79</v>
      </c>
      <c r="L5" s="6"/>
      <c r="M5" s="6"/>
      <c r="N5" s="6"/>
      <c r="O5" s="6">
        <v>2370.17</v>
      </c>
      <c r="P5" s="6">
        <v>2636.2</v>
      </c>
      <c r="Q5" s="6">
        <v>3194.8</v>
      </c>
      <c r="R5" s="6">
        <v>3465.32</v>
      </c>
    </row>
    <row r="6" spans="1:19">
      <c r="A6" s="25" t="s">
        <v>73</v>
      </c>
      <c r="B6" s="10">
        <f t="shared" ref="B6:I6" si="0">B4+B5</f>
        <v>0</v>
      </c>
      <c r="C6" s="10">
        <f t="shared" si="0"/>
        <v>0</v>
      </c>
      <c r="D6" s="10">
        <f t="shared" si="0"/>
        <v>0</v>
      </c>
      <c r="E6" s="10">
        <f t="shared" si="0"/>
        <v>8473.24</v>
      </c>
      <c r="F6" s="10">
        <f t="shared" si="0"/>
        <v>3992.62</v>
      </c>
      <c r="G6" s="10">
        <f t="shared" si="0"/>
        <v>4053.23</v>
      </c>
      <c r="H6" s="10">
        <f t="shared" si="0"/>
        <v>3467.63</v>
      </c>
      <c r="I6" s="10">
        <f t="shared" si="0"/>
        <v>412.76</v>
      </c>
      <c r="J6" s="48"/>
      <c r="K6" s="25" t="s">
        <v>29</v>
      </c>
      <c r="L6" s="10">
        <f t="shared" ref="L6:R6" si="1">(L4+L5)</f>
        <v>0</v>
      </c>
      <c r="M6" s="10">
        <f t="shared" si="1"/>
        <v>0</v>
      </c>
      <c r="N6" s="10">
        <f t="shared" si="1"/>
        <v>0</v>
      </c>
      <c r="O6" s="10">
        <f t="shared" si="1"/>
        <v>2481.86</v>
      </c>
      <c r="P6" s="10">
        <f t="shared" si="1"/>
        <v>2747.89</v>
      </c>
      <c r="Q6" s="10">
        <f t="shared" si="1"/>
        <v>3306.4900000000002</v>
      </c>
      <c r="R6" s="10">
        <f t="shared" si="1"/>
        <v>3577.01</v>
      </c>
      <c r="S6" s="30"/>
    </row>
    <row r="7" spans="1:19">
      <c r="A7" s="26" t="s">
        <v>1</v>
      </c>
      <c r="B7" s="12"/>
      <c r="C7" s="12" t="e">
        <f t="shared" ref="C7:H7" si="2">(C6/B6-1)</f>
        <v>#DIV/0!</v>
      </c>
      <c r="D7" s="12" t="e">
        <f t="shared" si="2"/>
        <v>#DIV/0!</v>
      </c>
      <c r="E7" s="12" t="e">
        <f t="shared" si="2"/>
        <v>#DIV/0!</v>
      </c>
      <c r="F7" s="12">
        <f t="shared" si="2"/>
        <v>-0.52879654063852788</v>
      </c>
      <c r="G7" s="12">
        <f t="shared" si="2"/>
        <v>1.5180508037328844E-2</v>
      </c>
      <c r="H7" s="12">
        <f t="shared" si="2"/>
        <v>-0.14447736743288686</v>
      </c>
      <c r="I7" s="12"/>
      <c r="K7" s="6" t="s">
        <v>30</v>
      </c>
      <c r="L7" s="11"/>
      <c r="M7" s="11"/>
      <c r="N7" s="11"/>
      <c r="O7" s="11"/>
      <c r="P7" s="23"/>
      <c r="Q7" s="11"/>
      <c r="R7" s="11"/>
    </row>
    <row r="8" spans="1:19">
      <c r="A8" s="26" t="s">
        <v>80</v>
      </c>
      <c r="B8" s="12"/>
      <c r="C8" s="12"/>
      <c r="D8" s="12"/>
      <c r="E8" s="12"/>
      <c r="F8" s="12" t="e">
        <f>+((F6/C6)^(1/3)-1)</f>
        <v>#DIV/0!</v>
      </c>
      <c r="G8" s="12" t="e">
        <f>+((G6/D6)^(1/3)-1)</f>
        <v>#DIV/0!</v>
      </c>
      <c r="H8" s="12">
        <f>+((H6/E6)^(1/3)-1)</f>
        <v>-0.2575604800214899</v>
      </c>
      <c r="I8" s="12"/>
      <c r="K8" s="6" t="s">
        <v>31</v>
      </c>
      <c r="L8" s="11"/>
      <c r="M8" s="11"/>
      <c r="N8" s="11"/>
      <c r="O8" s="11">
        <v>3125.95</v>
      </c>
      <c r="P8" s="11">
        <v>2392.42</v>
      </c>
      <c r="Q8" s="11">
        <v>701.58</v>
      </c>
      <c r="R8" s="11">
        <v>527.41999999999996</v>
      </c>
    </row>
    <row r="9" spans="1:19">
      <c r="A9" s="25" t="s">
        <v>2</v>
      </c>
      <c r="B9" s="10">
        <f t="shared" ref="B9:G9" si="3">SUM(B10:B15)</f>
        <v>0</v>
      </c>
      <c r="C9" s="10">
        <f t="shared" si="3"/>
        <v>0</v>
      </c>
      <c r="D9" s="10">
        <f t="shared" si="3"/>
        <v>0</v>
      </c>
      <c r="E9" s="10">
        <f t="shared" si="3"/>
        <v>7468.55</v>
      </c>
      <c r="F9" s="10">
        <f t="shared" si="3"/>
        <v>3141.44</v>
      </c>
      <c r="G9" s="10">
        <f t="shared" si="3"/>
        <v>2979.9</v>
      </c>
      <c r="H9" s="10">
        <f>SUM(H10:H15)</f>
        <v>2772.41</v>
      </c>
      <c r="I9" s="10">
        <f>SUM(I10:I15)</f>
        <v>365.29</v>
      </c>
      <c r="K9" s="6" t="s">
        <v>32</v>
      </c>
      <c r="L9" s="11"/>
      <c r="M9" s="11"/>
      <c r="N9" s="11"/>
      <c r="O9" s="6">
        <v>1587.85</v>
      </c>
      <c r="P9" s="6">
        <v>1462.57</v>
      </c>
      <c r="Q9" s="6">
        <v>200.44</v>
      </c>
      <c r="R9" s="6">
        <v>15.62</v>
      </c>
    </row>
    <row r="10" spans="1:19">
      <c r="A10" s="6" t="s">
        <v>81</v>
      </c>
      <c r="B10" s="11"/>
      <c r="C10" s="1"/>
      <c r="D10" s="1"/>
      <c r="E10" s="1">
        <v>2428.5300000000002</v>
      </c>
      <c r="F10" s="1">
        <v>1695.56</v>
      </c>
      <c r="G10" s="1">
        <v>1864.81</v>
      </c>
      <c r="H10" s="1">
        <v>1755.42</v>
      </c>
      <c r="I10" s="1">
        <v>207.41</v>
      </c>
      <c r="K10" s="25" t="s">
        <v>33</v>
      </c>
      <c r="L10" s="10">
        <f t="shared" ref="L10:R10" si="4">(L8+L9)</f>
        <v>0</v>
      </c>
      <c r="M10" s="10">
        <f t="shared" si="4"/>
        <v>0</v>
      </c>
      <c r="N10" s="10">
        <f t="shared" si="4"/>
        <v>0</v>
      </c>
      <c r="O10" s="10">
        <f t="shared" si="4"/>
        <v>4713.7999999999993</v>
      </c>
      <c r="P10" s="10">
        <f t="shared" si="4"/>
        <v>3854.99</v>
      </c>
      <c r="Q10" s="10">
        <f t="shared" si="4"/>
        <v>902.02</v>
      </c>
      <c r="R10" s="10">
        <f t="shared" si="4"/>
        <v>543.04</v>
      </c>
    </row>
    <row r="11" spans="1:19">
      <c r="A11" s="6" t="s">
        <v>82</v>
      </c>
      <c r="B11" s="11"/>
      <c r="C11" s="1"/>
      <c r="D11" s="1"/>
      <c r="E11" s="1">
        <v>0.68</v>
      </c>
      <c r="F11" s="1">
        <v>2.69</v>
      </c>
      <c r="G11" s="1">
        <v>11.72</v>
      </c>
      <c r="H11" s="1">
        <v>48.22</v>
      </c>
      <c r="I11" s="1">
        <v>2.99</v>
      </c>
      <c r="K11" s="25" t="s">
        <v>34</v>
      </c>
      <c r="L11" s="10">
        <f>(L6+L8+L7+L57+L53+L54)</f>
        <v>0</v>
      </c>
      <c r="M11" s="10">
        <f>(M6+M8+M7+M57+M53+M54)</f>
        <v>0</v>
      </c>
      <c r="N11" s="10">
        <f>(N6+N8+N7+N57+N53+N54)</f>
        <v>0</v>
      </c>
      <c r="O11" s="10">
        <f>(O6+O8+O7+O57+O53+O54)</f>
        <v>5688.5199999999995</v>
      </c>
      <c r="P11" s="10">
        <f>(P6+P8+P7+P57+P53+P54)</f>
        <v>5461.8799999999992</v>
      </c>
      <c r="Q11" s="10">
        <f>(Q6+Q8+Q7+Q57+Q53+Q54+Q55)</f>
        <v>4880.6100000000006</v>
      </c>
      <c r="R11" s="10">
        <f>(R6+R8+R7+R57+R53+R54+R55)</f>
        <v>4807.3600000000006</v>
      </c>
      <c r="S11" s="3"/>
    </row>
    <row r="12" spans="1:19">
      <c r="A12" s="6" t="s">
        <v>83</v>
      </c>
      <c r="B12" s="11"/>
      <c r="C12" s="1"/>
      <c r="D12" s="1"/>
      <c r="E12" s="1">
        <v>77.45</v>
      </c>
      <c r="F12" s="1">
        <v>-24.6</v>
      </c>
      <c r="G12" s="1">
        <v>-10.78</v>
      </c>
      <c r="H12" s="1">
        <v>-33.99</v>
      </c>
      <c r="I12" s="1">
        <v>-16.350000000000001</v>
      </c>
      <c r="K12" s="25" t="s">
        <v>34</v>
      </c>
      <c r="L12" s="10">
        <f t="shared" ref="L12:R12" si="5">L59-L44-L9</f>
        <v>0</v>
      </c>
      <c r="M12" s="10">
        <f t="shared" si="5"/>
        <v>0</v>
      </c>
      <c r="N12" s="10">
        <f t="shared" si="5"/>
        <v>0</v>
      </c>
      <c r="O12" s="10">
        <f t="shared" si="5"/>
        <v>5889.1899999999987</v>
      </c>
      <c r="P12" s="10">
        <f t="shared" si="5"/>
        <v>6275.4600000000019</v>
      </c>
      <c r="Q12" s="10">
        <f t="shared" si="5"/>
        <v>4935.7600000000011</v>
      </c>
      <c r="R12" s="10">
        <f t="shared" si="5"/>
        <v>4868.13</v>
      </c>
    </row>
    <row r="13" spans="1:19">
      <c r="A13" s="6" t="s">
        <v>57</v>
      </c>
      <c r="B13" s="11"/>
      <c r="C13" s="1"/>
      <c r="D13" s="1"/>
      <c r="E13" s="1">
        <v>637.16999999999996</v>
      </c>
      <c r="F13" s="1">
        <v>412.39</v>
      </c>
      <c r="G13" s="1">
        <v>266.70999999999998</v>
      </c>
      <c r="H13" s="1">
        <v>256.33</v>
      </c>
      <c r="I13" s="1">
        <v>58.27</v>
      </c>
      <c r="K13" s="6"/>
      <c r="L13" s="24"/>
      <c r="M13" s="24"/>
      <c r="N13" s="24"/>
      <c r="O13" s="24"/>
      <c r="P13" s="24"/>
      <c r="Q13" s="24"/>
      <c r="R13" s="24"/>
    </row>
    <row r="14" spans="1:19">
      <c r="A14" s="6" t="s">
        <v>59</v>
      </c>
      <c r="B14" s="11"/>
      <c r="C14" s="1"/>
      <c r="D14" s="1"/>
      <c r="E14" s="1">
        <v>3570.61</v>
      </c>
      <c r="F14" s="1">
        <v>1006.27</v>
      </c>
      <c r="G14" s="1">
        <v>847.44</v>
      </c>
      <c r="H14" s="1">
        <v>746.43</v>
      </c>
      <c r="I14" s="1">
        <f>6.85+57.14+4.05+44.93</f>
        <v>112.97</v>
      </c>
      <c r="L14" s="27"/>
      <c r="M14" s="27"/>
      <c r="N14" s="27"/>
      <c r="O14" s="27"/>
      <c r="P14" s="27"/>
      <c r="Q14" s="28"/>
      <c r="R14" s="28"/>
    </row>
    <row r="15" spans="1:19">
      <c r="A15" s="6" t="s">
        <v>84</v>
      </c>
      <c r="B15" s="11"/>
      <c r="C15" s="1"/>
      <c r="D15" s="1"/>
      <c r="E15" s="1">
        <v>754.11</v>
      </c>
      <c r="F15" s="1">
        <v>49.13</v>
      </c>
      <c r="G15" s="1"/>
      <c r="H15" s="1"/>
      <c r="I15" s="1"/>
      <c r="K15" s="6" t="s">
        <v>85</v>
      </c>
      <c r="L15" s="11"/>
      <c r="M15" s="11"/>
      <c r="N15" s="11"/>
      <c r="O15" s="24">
        <v>6202.17</v>
      </c>
      <c r="P15" s="24">
        <v>6115.39</v>
      </c>
      <c r="Q15" s="24">
        <v>3496.13</v>
      </c>
      <c r="R15" s="24">
        <v>3381.63</v>
      </c>
    </row>
    <row r="16" spans="1:19">
      <c r="A16" s="25" t="s">
        <v>3</v>
      </c>
      <c r="B16" s="10">
        <f>(B6-B9)</f>
        <v>0</v>
      </c>
      <c r="C16" s="10">
        <f>(C6-C9)</f>
        <v>0</v>
      </c>
      <c r="D16" s="10">
        <f>(D6-D9)</f>
        <v>0</v>
      </c>
      <c r="E16" s="10">
        <f>(E4-E9)</f>
        <v>930.3100000000004</v>
      </c>
      <c r="F16" s="10">
        <f>(F4-F9)</f>
        <v>805.48</v>
      </c>
      <c r="G16" s="10">
        <f>(G4-G9)</f>
        <v>963.65999999999985</v>
      </c>
      <c r="H16" s="10">
        <f>(H4-H9)</f>
        <v>651.85000000000036</v>
      </c>
      <c r="I16" s="10">
        <f>(I4-I9)</f>
        <v>34.159999999999968</v>
      </c>
      <c r="K16" s="6" t="s">
        <v>86</v>
      </c>
      <c r="L16" s="11"/>
      <c r="M16" s="11"/>
      <c r="N16" s="11"/>
      <c r="O16" s="24">
        <v>34.19</v>
      </c>
      <c r="P16" s="24">
        <v>34.270000000000003</v>
      </c>
      <c r="Q16" s="24">
        <v>43.72</v>
      </c>
      <c r="R16" s="24">
        <v>137.47</v>
      </c>
    </row>
    <row r="17" spans="1:19">
      <c r="A17" s="26" t="s">
        <v>1</v>
      </c>
      <c r="B17" s="12"/>
      <c r="C17" s="12" t="e">
        <f t="shared" ref="C17:H17" si="6">(C16/B16-1)</f>
        <v>#DIV/0!</v>
      </c>
      <c r="D17" s="12" t="e">
        <f t="shared" si="6"/>
        <v>#DIV/0!</v>
      </c>
      <c r="E17" s="12" t="e">
        <f t="shared" si="6"/>
        <v>#DIV/0!</v>
      </c>
      <c r="F17" s="12">
        <f t="shared" si="6"/>
        <v>-0.13418107942513824</v>
      </c>
      <c r="G17" s="12">
        <f t="shared" si="6"/>
        <v>0.19637979838108932</v>
      </c>
      <c r="H17" s="12">
        <f t="shared" si="6"/>
        <v>-0.32356847850901727</v>
      </c>
      <c r="I17" s="12"/>
      <c r="K17" s="6" t="s">
        <v>128</v>
      </c>
      <c r="L17" s="11"/>
      <c r="M17" s="11"/>
      <c r="N17" s="11"/>
      <c r="O17" s="24">
        <v>980.37</v>
      </c>
      <c r="P17" s="24">
        <v>959.55</v>
      </c>
      <c r="Q17" s="24">
        <v>931.74</v>
      </c>
      <c r="R17" s="24">
        <v>897.43</v>
      </c>
    </row>
    <row r="18" spans="1:19">
      <c r="A18" s="26" t="s">
        <v>80</v>
      </c>
      <c r="B18" s="12"/>
      <c r="C18" s="12"/>
      <c r="D18" s="12"/>
      <c r="E18" s="12"/>
      <c r="F18" s="12" t="e">
        <f>+((F16/C16)^(1/3)-1)</f>
        <v>#DIV/0!</v>
      </c>
      <c r="G18" s="12" t="e">
        <f>+((G16/D16)^(1/3)-1)</f>
        <v>#DIV/0!</v>
      </c>
      <c r="H18" s="12">
        <f>+((H16/E16)^(1/3)-1)</f>
        <v>-0.11180840276339354</v>
      </c>
      <c r="I18" s="12"/>
      <c r="K18" s="6" t="s">
        <v>129</v>
      </c>
      <c r="L18" s="11"/>
      <c r="M18" s="11"/>
      <c r="N18" s="11"/>
      <c r="O18" s="24">
        <v>124.11</v>
      </c>
      <c r="P18" s="24">
        <v>176.54</v>
      </c>
      <c r="Q18" s="24">
        <v>230.72</v>
      </c>
      <c r="R18" s="24">
        <v>36.4</v>
      </c>
      <c r="S18" s="3"/>
    </row>
    <row r="19" spans="1:19">
      <c r="A19" s="25" t="s">
        <v>4</v>
      </c>
      <c r="B19" s="29" t="e">
        <f t="shared" ref="B19:I19" si="7">(B16/B6)</f>
        <v>#DIV/0!</v>
      </c>
      <c r="C19" s="29" t="e">
        <f t="shared" si="7"/>
        <v>#DIV/0!</v>
      </c>
      <c r="D19" s="29" t="e">
        <f t="shared" si="7"/>
        <v>#DIV/0!</v>
      </c>
      <c r="E19" s="29">
        <f t="shared" si="7"/>
        <v>0.10979389230093806</v>
      </c>
      <c r="F19" s="29">
        <f t="shared" si="7"/>
        <v>0.20174221438554132</v>
      </c>
      <c r="G19" s="29">
        <f t="shared" si="7"/>
        <v>0.23775112687905692</v>
      </c>
      <c r="H19" s="29">
        <f t="shared" si="7"/>
        <v>0.18798141670247412</v>
      </c>
      <c r="I19" s="29">
        <f t="shared" si="7"/>
        <v>8.2759957360209246E-2</v>
      </c>
      <c r="K19" s="6" t="s">
        <v>130</v>
      </c>
      <c r="L19" s="11"/>
      <c r="M19" s="11"/>
      <c r="N19" s="11"/>
      <c r="O19" s="24">
        <v>2.75</v>
      </c>
      <c r="P19" s="24">
        <v>4.0599999999999996</v>
      </c>
      <c r="Q19" s="24">
        <v>2.56</v>
      </c>
      <c r="R19" s="24">
        <v>8.1999999999999993</v>
      </c>
    </row>
    <row r="20" spans="1:19">
      <c r="A20" s="6" t="s">
        <v>89</v>
      </c>
      <c r="B20" s="1"/>
      <c r="C20" s="1"/>
      <c r="D20" s="1"/>
      <c r="E20" s="1">
        <v>313.33999999999997</v>
      </c>
      <c r="F20" s="1">
        <v>199.31</v>
      </c>
      <c r="G20" s="1">
        <v>193</v>
      </c>
      <c r="H20" s="1">
        <v>227.76</v>
      </c>
      <c r="I20" s="1">
        <v>56.7</v>
      </c>
      <c r="K20" s="6" t="s">
        <v>131</v>
      </c>
      <c r="L20" s="11"/>
      <c r="M20" s="11"/>
      <c r="N20" s="11"/>
      <c r="O20" s="24">
        <v>0.1</v>
      </c>
      <c r="P20" s="24">
        <v>0.75</v>
      </c>
      <c r="Q20" s="24"/>
      <c r="R20" s="24"/>
    </row>
    <row r="21" spans="1:19">
      <c r="A21" s="6" t="s">
        <v>91</v>
      </c>
      <c r="B21" s="1"/>
      <c r="C21" s="1"/>
      <c r="D21" s="1"/>
      <c r="E21" s="1">
        <v>550.75</v>
      </c>
      <c r="F21" s="1">
        <v>211.81</v>
      </c>
      <c r="G21" s="1">
        <v>101.55</v>
      </c>
      <c r="H21" s="1">
        <v>93.13</v>
      </c>
      <c r="I21" s="1">
        <v>25.65</v>
      </c>
      <c r="J21" s="30"/>
      <c r="K21" s="6" t="s">
        <v>87</v>
      </c>
      <c r="L21" s="11"/>
      <c r="M21" s="11"/>
      <c r="N21" s="11"/>
      <c r="O21" s="24"/>
      <c r="P21" s="24"/>
      <c r="Q21" s="24"/>
      <c r="R21" s="24"/>
    </row>
    <row r="22" spans="1:19">
      <c r="A22" s="6" t="s">
        <v>92</v>
      </c>
      <c r="B22" s="1"/>
      <c r="C22" s="1"/>
      <c r="D22" s="1"/>
      <c r="E22" s="1"/>
      <c r="F22" s="1"/>
      <c r="G22" s="1"/>
      <c r="H22" s="1"/>
      <c r="I22" s="1"/>
      <c r="K22" s="6" t="s">
        <v>88</v>
      </c>
      <c r="L22" s="11"/>
      <c r="M22" s="11"/>
      <c r="N22" s="11"/>
      <c r="O22" s="24"/>
      <c r="P22" s="24"/>
      <c r="Q22" s="24"/>
      <c r="R22" s="24"/>
    </row>
    <row r="23" spans="1:19">
      <c r="A23" s="6" t="s">
        <v>94</v>
      </c>
      <c r="B23" s="1"/>
      <c r="C23" s="1"/>
      <c r="D23" s="1"/>
      <c r="E23" s="1"/>
      <c r="F23" s="1"/>
      <c r="G23" s="1"/>
      <c r="H23" s="1"/>
      <c r="I23" s="1"/>
      <c r="K23" s="6" t="s">
        <v>90</v>
      </c>
      <c r="L23" s="11"/>
      <c r="M23" s="11"/>
      <c r="N23" s="11"/>
      <c r="O23" s="24">
        <v>258.31</v>
      </c>
      <c r="P23" s="24">
        <v>223.41</v>
      </c>
      <c r="Q23" s="24">
        <v>265.39</v>
      </c>
      <c r="R23" s="24">
        <v>274.24</v>
      </c>
    </row>
    <row r="24" spans="1:19">
      <c r="A24" s="25" t="s">
        <v>6</v>
      </c>
      <c r="B24" s="10">
        <f>(B16-B20-B21+B22+B23)</f>
        <v>0</v>
      </c>
      <c r="C24" s="10">
        <f>(C16-C20-C21+C22+C23)</f>
        <v>0</v>
      </c>
      <c r="D24" s="10">
        <f>(D16-D20-D21+D22+D23)</f>
        <v>0</v>
      </c>
      <c r="E24" s="10">
        <f>(E16-E20-E21+E22+E23+E5)</f>
        <v>140.60000000000048</v>
      </c>
      <c r="F24" s="10">
        <f>(F16-F20-F21+F22+F23+F5)</f>
        <v>440.06000000000006</v>
      </c>
      <c r="G24" s="10">
        <f>(G16-G20-G21+G22+G23+G5)</f>
        <v>778.77999999999986</v>
      </c>
      <c r="H24" s="10">
        <f>(H16-H20-H21+H22+H23+H5)</f>
        <v>374.33000000000038</v>
      </c>
      <c r="I24" s="10">
        <f>(I16-I20-I21+I22+I23+I5)</f>
        <v>-34.880000000000031</v>
      </c>
      <c r="K24" s="6" t="s">
        <v>132</v>
      </c>
      <c r="L24" s="11"/>
      <c r="M24" s="11"/>
      <c r="N24" s="11"/>
      <c r="O24" s="24"/>
      <c r="P24" s="24"/>
      <c r="Q24" s="24">
        <v>6.92</v>
      </c>
      <c r="R24" s="24">
        <v>7.17</v>
      </c>
    </row>
    <row r="25" spans="1:19">
      <c r="A25" s="6" t="s">
        <v>144</v>
      </c>
      <c r="B25" s="6"/>
      <c r="C25" s="6"/>
      <c r="D25" s="6"/>
      <c r="E25" s="6"/>
      <c r="F25" s="6">
        <v>83.19</v>
      </c>
      <c r="G25" s="6">
        <v>174.58</v>
      </c>
      <c r="H25" s="6">
        <v>53.92</v>
      </c>
      <c r="I25" s="6"/>
      <c r="K25" s="6" t="s">
        <v>133</v>
      </c>
      <c r="L25" s="11"/>
      <c r="M25" s="11"/>
      <c r="N25" s="11"/>
      <c r="O25" s="24">
        <v>293.25</v>
      </c>
      <c r="P25" s="24">
        <v>256.33999999999997</v>
      </c>
      <c r="Q25" s="24">
        <v>7.88</v>
      </c>
      <c r="R25" s="24">
        <v>2.89</v>
      </c>
    </row>
    <row r="26" spans="1:19">
      <c r="A26" s="6" t="s">
        <v>145</v>
      </c>
      <c r="B26" s="6"/>
      <c r="C26" s="6"/>
      <c r="D26" s="6"/>
      <c r="E26" s="6"/>
      <c r="F26" s="6">
        <v>-83.19</v>
      </c>
      <c r="G26" s="6">
        <v>-174.58</v>
      </c>
      <c r="H26" s="6">
        <v>-53.92</v>
      </c>
      <c r="I26" s="6"/>
      <c r="K26" s="6" t="s">
        <v>93</v>
      </c>
      <c r="L26" s="11"/>
      <c r="M26" s="11"/>
      <c r="N26" s="11"/>
      <c r="O26" s="24"/>
      <c r="P26" s="24"/>
      <c r="Q26" s="24"/>
      <c r="R26" s="24"/>
    </row>
    <row r="27" spans="1:19">
      <c r="A27" s="6" t="s">
        <v>146</v>
      </c>
      <c r="B27" s="6"/>
      <c r="C27" s="6"/>
      <c r="D27" s="6"/>
      <c r="E27" s="6">
        <v>16.71</v>
      </c>
      <c r="F27" s="6">
        <v>160.56</v>
      </c>
      <c r="G27" s="6">
        <v>266.91000000000003</v>
      </c>
      <c r="H27" s="6">
        <v>-93.69</v>
      </c>
      <c r="I27" s="6">
        <v>-12.07</v>
      </c>
      <c r="K27" s="6" t="s">
        <v>95</v>
      </c>
      <c r="L27" s="11"/>
      <c r="M27" s="11"/>
      <c r="N27" s="11"/>
      <c r="O27" s="24"/>
      <c r="P27" s="24"/>
      <c r="Q27" s="24"/>
      <c r="R27" s="24"/>
    </row>
    <row r="28" spans="1:19">
      <c r="A28" s="6" t="s">
        <v>184</v>
      </c>
      <c r="B28" s="6"/>
      <c r="C28" s="6"/>
      <c r="D28" s="6"/>
      <c r="E28" s="6">
        <f>SUM(E25:E27)</f>
        <v>16.71</v>
      </c>
      <c r="F28" s="6">
        <f>SUM(F25:F27)</f>
        <v>160.56</v>
      </c>
      <c r="G28" s="6">
        <f>SUM(G25:G27)</f>
        <v>266.91000000000003</v>
      </c>
      <c r="H28" s="6">
        <f>SUM(H25:H27)</f>
        <v>-93.69</v>
      </c>
      <c r="I28" s="6"/>
      <c r="K28" s="6"/>
      <c r="L28" s="11"/>
      <c r="M28" s="11"/>
      <c r="N28" s="11"/>
      <c r="O28" s="24"/>
      <c r="P28" s="24"/>
      <c r="Q28" s="24"/>
      <c r="R28" s="24"/>
    </row>
    <row r="29" spans="1:19">
      <c r="A29" s="26" t="s">
        <v>7</v>
      </c>
      <c r="B29" s="12">
        <v>0</v>
      </c>
      <c r="C29" s="12">
        <v>0</v>
      </c>
      <c r="D29" s="12" t="e">
        <f t="shared" ref="D29:I29" si="8">(D25/D24)</f>
        <v>#DIV/0!</v>
      </c>
      <c r="E29" s="12">
        <f t="shared" si="8"/>
        <v>0</v>
      </c>
      <c r="F29" s="12">
        <f t="shared" si="8"/>
        <v>0.18904240330863969</v>
      </c>
      <c r="G29" s="12">
        <f t="shared" si="8"/>
        <v>0.22417113947456282</v>
      </c>
      <c r="H29" s="12">
        <f t="shared" si="8"/>
        <v>0.14404402532524763</v>
      </c>
      <c r="I29" s="12">
        <f t="shared" si="8"/>
        <v>0</v>
      </c>
      <c r="K29" s="6" t="s">
        <v>107</v>
      </c>
      <c r="L29" s="11"/>
      <c r="M29" s="11"/>
      <c r="N29" s="11"/>
      <c r="O29" s="24"/>
      <c r="P29" s="24"/>
      <c r="Q29" s="24"/>
      <c r="R29" s="24">
        <v>64.56</v>
      </c>
    </row>
    <row r="30" spans="1:19">
      <c r="A30" s="25" t="s">
        <v>8</v>
      </c>
      <c r="B30" s="10">
        <f t="shared" ref="B30:I30" si="9">(B24-B25)</f>
        <v>0</v>
      </c>
      <c r="C30" s="10">
        <f t="shared" si="9"/>
        <v>0</v>
      </c>
      <c r="D30" s="10">
        <f t="shared" si="9"/>
        <v>0</v>
      </c>
      <c r="E30" s="10">
        <f>(E24-E28)</f>
        <v>123.89000000000047</v>
      </c>
      <c r="F30" s="10">
        <f>(F24-F28)</f>
        <v>279.50000000000006</v>
      </c>
      <c r="G30" s="10">
        <f>(G24-G28)</f>
        <v>511.86999999999983</v>
      </c>
      <c r="H30" s="10">
        <f>(H24-H28)</f>
        <v>468.02000000000038</v>
      </c>
      <c r="I30" s="10">
        <f t="shared" si="9"/>
        <v>-34.880000000000031</v>
      </c>
      <c r="K30" s="6" t="s">
        <v>134</v>
      </c>
      <c r="L30" s="11"/>
      <c r="M30" s="11"/>
      <c r="N30" s="11"/>
      <c r="O30" s="24">
        <v>64.87</v>
      </c>
      <c r="P30" s="24">
        <v>98.71</v>
      </c>
      <c r="Q30" s="24">
        <v>119.94</v>
      </c>
      <c r="R30" s="24">
        <v>190.06</v>
      </c>
    </row>
    <row r="31" spans="1:19">
      <c r="A31" s="25" t="s">
        <v>67</v>
      </c>
      <c r="B31" s="31">
        <v>0</v>
      </c>
      <c r="C31" s="31">
        <v>0</v>
      </c>
      <c r="D31" s="31" t="e">
        <f t="shared" ref="D31:I31" si="10">D30/D6</f>
        <v>#DIV/0!</v>
      </c>
      <c r="E31" s="31">
        <f t="shared" si="10"/>
        <v>1.4621325490603415E-2</v>
      </c>
      <c r="F31" s="31">
        <f t="shared" si="10"/>
        <v>7.0004157670902831E-2</v>
      </c>
      <c r="G31" s="31">
        <f t="shared" si="10"/>
        <v>0.12628693659131107</v>
      </c>
      <c r="H31" s="31">
        <f t="shared" si="10"/>
        <v>0.1349682636267423</v>
      </c>
      <c r="I31" s="31">
        <f t="shared" si="10"/>
        <v>-8.4504312433375403E-2</v>
      </c>
      <c r="K31" s="6" t="s">
        <v>95</v>
      </c>
      <c r="L31" s="11"/>
      <c r="M31" s="11"/>
      <c r="N31" s="11"/>
      <c r="O31" s="24">
        <v>121.77</v>
      </c>
      <c r="P31" s="24">
        <v>103.85</v>
      </c>
      <c r="Q31" s="24">
        <v>40.83</v>
      </c>
      <c r="R31" s="24">
        <v>50.9</v>
      </c>
    </row>
    <row r="32" spans="1:19">
      <c r="A32" s="26" t="s">
        <v>80</v>
      </c>
      <c r="B32" s="31"/>
      <c r="C32" s="31"/>
      <c r="D32" s="31"/>
      <c r="E32" s="31"/>
      <c r="F32" s="31"/>
      <c r="G32" s="31"/>
      <c r="H32" s="12">
        <f>+((H30/E30)^(1/3)-1)</f>
        <v>0.55743304964398854</v>
      </c>
      <c r="I32" s="12"/>
      <c r="K32" s="25" t="s">
        <v>35</v>
      </c>
      <c r="L32" s="10">
        <f>SUM(L33:L42)</f>
        <v>0</v>
      </c>
      <c r="M32" s="10">
        <f>SUM(M33:M42)</f>
        <v>0</v>
      </c>
      <c r="N32" s="10">
        <f>SUM(N33:N42)</f>
        <v>0</v>
      </c>
      <c r="O32" s="10">
        <f>SUM(O33:O42)</f>
        <v>2254.4300000000003</v>
      </c>
      <c r="P32" s="10">
        <f>SUM(P33:P42)</f>
        <v>2358.46</v>
      </c>
      <c r="Q32" s="10">
        <f>SUM(Q33:Q43)</f>
        <v>1033.44</v>
      </c>
      <c r="R32" s="10">
        <f>SUM(R33:R43)</f>
        <v>1491.84</v>
      </c>
    </row>
    <row r="33" spans="1:18">
      <c r="A33" s="13" t="s">
        <v>147</v>
      </c>
      <c r="B33" s="13"/>
      <c r="C33" s="13"/>
      <c r="D33" s="13"/>
      <c r="E33" s="13"/>
      <c r="F33" s="13"/>
      <c r="G33" s="13"/>
      <c r="H33" s="13"/>
      <c r="I33" s="13"/>
      <c r="K33" s="11" t="s">
        <v>36</v>
      </c>
      <c r="L33" s="11"/>
      <c r="M33" s="11"/>
      <c r="N33" s="11"/>
      <c r="O33" s="11">
        <v>1264.5</v>
      </c>
      <c r="P33" s="11">
        <v>1178.55</v>
      </c>
      <c r="Q33" s="11">
        <v>627.6</v>
      </c>
      <c r="R33" s="11">
        <v>882.97</v>
      </c>
    </row>
    <row r="34" spans="1:18">
      <c r="A34" s="8" t="s">
        <v>148</v>
      </c>
      <c r="B34" s="8"/>
      <c r="C34" s="8"/>
      <c r="D34" s="8"/>
      <c r="E34" s="8">
        <v>-28.9</v>
      </c>
      <c r="F34" s="8">
        <v>167.72</v>
      </c>
      <c r="G34" s="8">
        <v>-46.56</v>
      </c>
      <c r="H34" s="8">
        <v>-27.13</v>
      </c>
      <c r="I34" s="8">
        <v>-6.22</v>
      </c>
      <c r="K34" s="11" t="s">
        <v>88</v>
      </c>
      <c r="L34" s="11"/>
      <c r="M34" s="11"/>
      <c r="N34" s="11"/>
      <c r="O34" s="11"/>
      <c r="P34" s="11"/>
      <c r="Q34" s="11"/>
      <c r="R34" s="11"/>
    </row>
    <row r="35" spans="1:18">
      <c r="A35" s="8" t="s">
        <v>149</v>
      </c>
      <c r="B35" s="8"/>
      <c r="C35" s="8"/>
      <c r="D35" s="8"/>
      <c r="E35" s="8"/>
      <c r="F35" s="8"/>
      <c r="G35" s="8">
        <v>5593.46</v>
      </c>
      <c r="H35" s="8"/>
      <c r="I35" s="8"/>
      <c r="K35" s="11" t="s">
        <v>96</v>
      </c>
      <c r="L35" s="11"/>
      <c r="M35" s="11"/>
      <c r="N35" s="11"/>
      <c r="O35" s="11"/>
      <c r="P35" s="11"/>
      <c r="Q35" s="11"/>
      <c r="R35" s="11"/>
    </row>
    <row r="36" spans="1:18">
      <c r="A36" s="8" t="s">
        <v>150</v>
      </c>
      <c r="B36" s="8"/>
      <c r="C36" s="8"/>
      <c r="D36" s="8"/>
      <c r="E36" s="8">
        <v>10</v>
      </c>
      <c r="F36" s="8">
        <v>-57.44</v>
      </c>
      <c r="G36" s="8">
        <v>16.79</v>
      </c>
      <c r="H36" s="8">
        <v>9.48</v>
      </c>
      <c r="I36" s="8">
        <v>2.15</v>
      </c>
      <c r="K36" s="11" t="s">
        <v>97</v>
      </c>
      <c r="L36" s="11"/>
      <c r="M36" s="11"/>
      <c r="N36" s="11"/>
      <c r="O36" s="11">
        <v>502.96</v>
      </c>
      <c r="P36" s="11">
        <v>421.47</v>
      </c>
      <c r="Q36" s="11">
        <v>203.86</v>
      </c>
      <c r="R36" s="11">
        <v>182.52</v>
      </c>
    </row>
    <row r="37" spans="1:18">
      <c r="A37" s="8" t="s">
        <v>168</v>
      </c>
      <c r="B37" s="8"/>
      <c r="C37" s="8"/>
      <c r="D37" s="8"/>
      <c r="E37" s="8"/>
      <c r="F37" s="8">
        <v>-18.12</v>
      </c>
      <c r="G37" s="8"/>
      <c r="H37" s="8"/>
      <c r="I37" s="8"/>
      <c r="K37" s="11" t="s">
        <v>98</v>
      </c>
      <c r="L37" s="11"/>
      <c r="M37" s="11"/>
      <c r="N37" s="11"/>
      <c r="O37" s="11">
        <v>39.24</v>
      </c>
      <c r="P37" s="11">
        <v>189.31</v>
      </c>
      <c r="Q37" s="11">
        <v>12.64</v>
      </c>
      <c r="R37" s="11">
        <v>45.06</v>
      </c>
    </row>
    <row r="38" spans="1:18">
      <c r="A38" s="13"/>
      <c r="B38" s="13"/>
      <c r="C38" s="13"/>
      <c r="D38" s="13"/>
      <c r="E38" s="13"/>
      <c r="F38" s="13"/>
      <c r="G38" s="13"/>
      <c r="H38" s="13"/>
      <c r="I38" s="13"/>
      <c r="K38" s="11" t="s">
        <v>99</v>
      </c>
      <c r="L38" s="11"/>
      <c r="M38" s="11"/>
      <c r="N38" s="11"/>
      <c r="O38" s="11">
        <v>49.97</v>
      </c>
      <c r="P38" s="11">
        <v>60.39</v>
      </c>
      <c r="Q38" s="11">
        <v>37.29</v>
      </c>
      <c r="R38" s="11">
        <v>60.65</v>
      </c>
    </row>
    <row r="39" spans="1:18">
      <c r="A39" s="13" t="s">
        <v>151</v>
      </c>
      <c r="B39" s="13"/>
      <c r="C39" s="13"/>
      <c r="D39" s="13"/>
      <c r="E39" s="13">
        <f>SUM(E34:E37)</f>
        <v>-18.899999999999999</v>
      </c>
      <c r="F39" s="13">
        <f>SUM(F34:F37)</f>
        <v>92.16</v>
      </c>
      <c r="G39" s="13">
        <f>SUM(G34:G37)</f>
        <v>5563.69</v>
      </c>
      <c r="H39" s="13">
        <f>SUM(H34:H37)</f>
        <v>-17.649999999999999</v>
      </c>
      <c r="I39" s="13">
        <f>SUM(I34:I37)</f>
        <v>-4.07</v>
      </c>
      <c r="K39" s="11" t="s">
        <v>100</v>
      </c>
      <c r="L39" s="11"/>
      <c r="M39" s="11"/>
      <c r="N39" s="11"/>
      <c r="O39" s="11"/>
      <c r="P39" s="11"/>
      <c r="Q39" s="11">
        <v>6.87</v>
      </c>
      <c r="R39" s="11">
        <v>181.17</v>
      </c>
    </row>
    <row r="40" spans="1:18">
      <c r="A40" s="13" t="s">
        <v>152</v>
      </c>
      <c r="B40" s="13"/>
      <c r="C40" s="13"/>
      <c r="D40" s="13"/>
      <c r="E40" s="13">
        <f>E30+E39</f>
        <v>104.99000000000046</v>
      </c>
      <c r="F40" s="13">
        <f>F30+F39</f>
        <v>371.66000000000008</v>
      </c>
      <c r="G40" s="13">
        <f>G30+G39</f>
        <v>6075.5599999999995</v>
      </c>
      <c r="H40" s="13">
        <f>H30+H39</f>
        <v>450.3700000000004</v>
      </c>
      <c r="I40" s="13">
        <f>I30+I39</f>
        <v>-38.950000000000031</v>
      </c>
      <c r="K40" s="11" t="s">
        <v>101</v>
      </c>
      <c r="L40" s="11"/>
      <c r="M40" s="11"/>
      <c r="N40" s="11"/>
      <c r="O40" s="11">
        <v>160.26</v>
      </c>
      <c r="P40" s="11">
        <v>205.82</v>
      </c>
      <c r="Q40" s="11">
        <v>26.04</v>
      </c>
      <c r="R40" s="11">
        <v>30.83</v>
      </c>
    </row>
    <row r="41" spans="1:18">
      <c r="A41" s="13" t="s">
        <v>153</v>
      </c>
      <c r="B41" s="13"/>
      <c r="C41" s="13"/>
      <c r="D41" s="13"/>
      <c r="E41" s="13"/>
      <c r="F41" s="13"/>
      <c r="G41" s="13"/>
      <c r="H41" s="13"/>
      <c r="I41" s="13"/>
      <c r="K41" s="11" t="s">
        <v>102</v>
      </c>
      <c r="L41" s="11"/>
      <c r="M41" s="11"/>
      <c r="N41" s="11"/>
      <c r="O41" s="11"/>
      <c r="P41" s="11"/>
      <c r="Q41" s="11"/>
      <c r="R41" s="11"/>
    </row>
    <row r="42" spans="1:18">
      <c r="A42" s="13" t="s">
        <v>154</v>
      </c>
      <c r="B42" s="13"/>
      <c r="C42" s="13"/>
      <c r="D42" s="13"/>
      <c r="E42" s="13">
        <f>SUM(E43:E44)</f>
        <v>0</v>
      </c>
      <c r="F42" s="13">
        <f>SUM(F43:F44)</f>
        <v>0</v>
      </c>
      <c r="G42" s="13">
        <f>SUM(G43:G44)</f>
        <v>-1.7000000000000002</v>
      </c>
      <c r="H42" s="13">
        <f>SUM(H43:H44)</f>
        <v>1.3</v>
      </c>
      <c r="I42" s="13">
        <v>48.3</v>
      </c>
      <c r="K42" s="11" t="s">
        <v>58</v>
      </c>
      <c r="L42" s="11"/>
      <c r="M42" s="11"/>
      <c r="N42" s="11"/>
      <c r="O42" s="11">
        <v>237.5</v>
      </c>
      <c r="P42" s="11">
        <v>302.92</v>
      </c>
      <c r="Q42" s="11">
        <v>116.91</v>
      </c>
      <c r="R42" s="11">
        <v>107.31</v>
      </c>
    </row>
    <row r="43" spans="1:18">
      <c r="A43" s="8" t="s">
        <v>155</v>
      </c>
      <c r="B43" s="8"/>
      <c r="C43" s="8"/>
      <c r="D43" s="8"/>
      <c r="E43" s="8"/>
      <c r="F43" s="8"/>
      <c r="G43" s="8">
        <v>-2.62</v>
      </c>
      <c r="H43" s="8">
        <v>2</v>
      </c>
      <c r="I43" s="8"/>
      <c r="K43" s="11" t="s">
        <v>135</v>
      </c>
      <c r="L43" s="11"/>
      <c r="M43" s="11"/>
      <c r="N43" s="11"/>
      <c r="O43" s="11"/>
      <c r="P43" s="11"/>
      <c r="Q43" s="11">
        <v>2.23</v>
      </c>
      <c r="R43" s="11">
        <v>1.33</v>
      </c>
    </row>
    <row r="44" spans="1:18">
      <c r="A44" s="8" t="s">
        <v>156</v>
      </c>
      <c r="B44" s="8"/>
      <c r="C44" s="8"/>
      <c r="D44" s="8"/>
      <c r="E44" s="8"/>
      <c r="F44" s="8"/>
      <c r="G44" s="8">
        <v>0.92</v>
      </c>
      <c r="H44" s="8">
        <v>-0.7</v>
      </c>
      <c r="I44" s="8"/>
      <c r="K44" s="25" t="s">
        <v>37</v>
      </c>
      <c r="L44" s="10">
        <f t="shared" ref="L44:R44" si="11">SUM(L45:L51)</f>
        <v>0</v>
      </c>
      <c r="M44" s="10">
        <f t="shared" si="11"/>
        <v>0</v>
      </c>
      <c r="N44" s="10">
        <f t="shared" si="11"/>
        <v>0</v>
      </c>
      <c r="O44" s="10">
        <f t="shared" si="11"/>
        <v>2859.28</v>
      </c>
      <c r="P44" s="10">
        <f t="shared" si="11"/>
        <v>2593.3000000000002</v>
      </c>
      <c r="Q44" s="10">
        <f t="shared" si="11"/>
        <v>1043.0700000000002</v>
      </c>
      <c r="R44" s="10">
        <f t="shared" si="11"/>
        <v>1659.04</v>
      </c>
    </row>
    <row r="45" spans="1:18">
      <c r="A45" s="13" t="s">
        <v>157</v>
      </c>
      <c r="B45" s="13"/>
      <c r="C45" s="13"/>
      <c r="D45" s="13"/>
      <c r="E45" s="13">
        <f>SUM(E46:E48)</f>
        <v>87.07</v>
      </c>
      <c r="F45" s="13">
        <f>SUM(F46:F48)</f>
        <v>-34.53</v>
      </c>
      <c r="G45" s="13">
        <f>SUM(G46:G48)</f>
        <v>-39.499999999999993</v>
      </c>
      <c r="H45" s="13">
        <f>SUM(H46:H48)</f>
        <v>-80.16</v>
      </c>
      <c r="I45" s="13">
        <v>0.62</v>
      </c>
      <c r="K45" s="11" t="s">
        <v>136</v>
      </c>
      <c r="L45" s="6"/>
      <c r="M45" s="6"/>
      <c r="N45" s="6"/>
      <c r="O45" s="6"/>
      <c r="P45" s="6"/>
      <c r="Q45" s="6"/>
      <c r="R45" s="6"/>
    </row>
    <row r="46" spans="1:18">
      <c r="A46" s="8" t="s">
        <v>158</v>
      </c>
      <c r="B46" s="8"/>
      <c r="C46" s="8"/>
      <c r="D46" s="8"/>
      <c r="E46" s="8">
        <v>9.34</v>
      </c>
      <c r="F46" s="8">
        <v>0.65</v>
      </c>
      <c r="G46" s="8">
        <v>1.56</v>
      </c>
      <c r="H46" s="8">
        <v>-6.15</v>
      </c>
      <c r="I46" s="8"/>
      <c r="K46" s="11" t="s">
        <v>137</v>
      </c>
      <c r="L46" s="6"/>
      <c r="M46" s="6"/>
      <c r="N46" s="6"/>
      <c r="O46" s="6"/>
      <c r="P46" s="6"/>
      <c r="Q46" s="6"/>
      <c r="R46" s="6"/>
    </row>
    <row r="47" spans="1:18">
      <c r="A47" s="8" t="s">
        <v>159</v>
      </c>
      <c r="B47" s="8"/>
      <c r="C47" s="8"/>
      <c r="D47" s="8"/>
      <c r="E47" s="8">
        <v>80.959999999999994</v>
      </c>
      <c r="F47" s="8">
        <v>-34.950000000000003</v>
      </c>
      <c r="G47" s="8">
        <v>-40.51</v>
      </c>
      <c r="H47" s="8">
        <v>-76.16</v>
      </c>
      <c r="I47" s="8"/>
      <c r="K47" s="11" t="s">
        <v>138</v>
      </c>
      <c r="L47" s="6"/>
      <c r="M47" s="6"/>
      <c r="N47" s="6"/>
      <c r="O47" s="6"/>
      <c r="P47" s="6"/>
      <c r="Q47" s="6"/>
      <c r="R47" s="6">
        <v>1.95</v>
      </c>
    </row>
    <row r="48" spans="1:18">
      <c r="A48" s="8" t="s">
        <v>160</v>
      </c>
      <c r="B48" s="8"/>
      <c r="C48" s="8"/>
      <c r="D48" s="8"/>
      <c r="E48" s="8">
        <v>-3.23</v>
      </c>
      <c r="F48" s="8">
        <v>-0.23</v>
      </c>
      <c r="G48" s="8">
        <v>-0.55000000000000004</v>
      </c>
      <c r="H48" s="8">
        <v>2.15</v>
      </c>
      <c r="I48" s="8">
        <v>-0.21</v>
      </c>
      <c r="K48" s="11" t="s">
        <v>139</v>
      </c>
      <c r="L48" s="6"/>
      <c r="M48" s="6"/>
      <c r="N48" s="6"/>
      <c r="O48" s="6">
        <v>705.82</v>
      </c>
      <c r="P48" s="6">
        <f>678.06+3.74</f>
        <v>681.8</v>
      </c>
      <c r="Q48" s="6">
        <f>6.7+506.31</f>
        <v>513.01</v>
      </c>
      <c r="R48" s="6">
        <f>8.87+431.28</f>
        <v>440.15</v>
      </c>
    </row>
    <row r="49" spans="1:18">
      <c r="A49" s="13" t="s">
        <v>161</v>
      </c>
      <c r="B49" s="13"/>
      <c r="C49" s="13"/>
      <c r="D49" s="13"/>
      <c r="E49" s="13">
        <f>SUM(E50:E51)</f>
        <v>0</v>
      </c>
      <c r="F49" s="13">
        <f>SUM(F50:F51)</f>
        <v>2.8499999999999996</v>
      </c>
      <c r="G49" s="13">
        <f>SUM(G50:G51)</f>
        <v>0.11</v>
      </c>
      <c r="H49" s="13">
        <f>SUM(H50:H51)</f>
        <v>0</v>
      </c>
      <c r="I49" s="13"/>
      <c r="K49" s="11" t="s">
        <v>140</v>
      </c>
      <c r="L49" s="6"/>
      <c r="M49" s="6"/>
      <c r="N49" s="6"/>
      <c r="O49" s="6">
        <v>1490.11</v>
      </c>
      <c r="P49" s="6">
        <v>1182.0899999999999</v>
      </c>
      <c r="Q49" s="6">
        <v>260.17</v>
      </c>
      <c r="R49" s="6">
        <v>943.47</v>
      </c>
    </row>
    <row r="50" spans="1:18">
      <c r="A50" s="8" t="s">
        <v>158</v>
      </c>
      <c r="B50" s="8"/>
      <c r="C50" s="8"/>
      <c r="D50" s="8"/>
      <c r="E50" s="8"/>
      <c r="F50" s="8">
        <v>4.42</v>
      </c>
      <c r="G50" s="8">
        <v>0.16</v>
      </c>
      <c r="H50" s="8"/>
      <c r="I50" s="8"/>
      <c r="K50" s="11" t="s">
        <v>103</v>
      </c>
      <c r="L50" s="6"/>
      <c r="M50" s="6"/>
      <c r="N50" s="6"/>
      <c r="O50" s="6">
        <v>445.82</v>
      </c>
      <c r="P50" s="6">
        <v>418.24</v>
      </c>
      <c r="Q50" s="6">
        <v>175.6</v>
      </c>
      <c r="R50" s="6">
        <v>180.59</v>
      </c>
    </row>
    <row r="51" spans="1:18">
      <c r="A51" s="8" t="s">
        <v>156</v>
      </c>
      <c r="B51" s="8"/>
      <c r="C51" s="8"/>
      <c r="D51" s="8"/>
      <c r="E51" s="8"/>
      <c r="F51" s="8">
        <v>-1.57</v>
      </c>
      <c r="G51" s="8">
        <v>-0.05</v>
      </c>
      <c r="H51" s="8"/>
      <c r="I51" s="8"/>
      <c r="K51" s="11" t="s">
        <v>141</v>
      </c>
      <c r="L51" s="6"/>
      <c r="M51" s="6"/>
      <c r="N51" s="6"/>
      <c r="O51" s="6">
        <v>217.53</v>
      </c>
      <c r="P51" s="6">
        <v>311.17</v>
      </c>
      <c r="Q51" s="6">
        <v>94.29</v>
      </c>
      <c r="R51" s="6">
        <v>92.88</v>
      </c>
    </row>
    <row r="52" spans="1:18">
      <c r="A52" s="13" t="s">
        <v>162</v>
      </c>
      <c r="B52" s="13"/>
      <c r="C52" s="13"/>
      <c r="D52" s="13"/>
      <c r="E52" s="13">
        <f>E42+E45+E49</f>
        <v>87.07</v>
      </c>
      <c r="F52" s="13">
        <f>F42+F45+F49</f>
        <v>-31.68</v>
      </c>
      <c r="G52" s="13">
        <f>G42+G45+G49</f>
        <v>-41.089999999999996</v>
      </c>
      <c r="H52" s="13">
        <f>H42+H45+H49</f>
        <v>-78.86</v>
      </c>
      <c r="I52" s="13">
        <v>48.71</v>
      </c>
      <c r="K52" s="25" t="s">
        <v>38</v>
      </c>
      <c r="L52" s="10">
        <f t="shared" ref="L52:R52" si="12">(L32-L44-L9)</f>
        <v>0</v>
      </c>
      <c r="M52" s="10">
        <f t="shared" si="12"/>
        <v>0</v>
      </c>
      <c r="N52" s="10">
        <f t="shared" si="12"/>
        <v>0</v>
      </c>
      <c r="O52" s="10">
        <f t="shared" si="12"/>
        <v>-2192.6999999999998</v>
      </c>
      <c r="P52" s="10">
        <f t="shared" si="12"/>
        <v>-1697.41</v>
      </c>
      <c r="Q52" s="10">
        <f t="shared" si="12"/>
        <v>-210.07000000000011</v>
      </c>
      <c r="R52" s="10">
        <f t="shared" si="12"/>
        <v>-182.82000000000005</v>
      </c>
    </row>
    <row r="53" spans="1:18">
      <c r="A53" s="13" t="s">
        <v>163</v>
      </c>
      <c r="B53" s="13"/>
      <c r="C53" s="13"/>
      <c r="D53" s="13"/>
      <c r="E53" s="13">
        <f>E40+E52</f>
        <v>192.06000000000046</v>
      </c>
      <c r="F53" s="13">
        <f>F40+F52</f>
        <v>339.98000000000008</v>
      </c>
      <c r="G53" s="13">
        <f>G40+G52</f>
        <v>6034.4699999999993</v>
      </c>
      <c r="H53" s="13">
        <f>H40+H52</f>
        <v>371.51000000000039</v>
      </c>
      <c r="I53" s="13">
        <v>21.83</v>
      </c>
      <c r="K53" s="6" t="s">
        <v>104</v>
      </c>
      <c r="L53" s="11"/>
      <c r="M53" s="11"/>
      <c r="N53" s="11"/>
      <c r="O53" s="11"/>
      <c r="P53" s="11">
        <v>6.73</v>
      </c>
      <c r="Q53" s="11"/>
      <c r="R53" s="11"/>
    </row>
    <row r="54" spans="1:18">
      <c r="A54" s="1" t="s">
        <v>9</v>
      </c>
      <c r="B54" s="1"/>
      <c r="C54" s="1"/>
      <c r="D54" s="1"/>
      <c r="E54" s="1"/>
      <c r="F54" s="1"/>
      <c r="G54" s="1"/>
      <c r="H54" s="1"/>
      <c r="I54" s="1"/>
      <c r="K54" s="6" t="s">
        <v>105</v>
      </c>
      <c r="L54" s="11"/>
      <c r="M54" s="11"/>
      <c r="N54" s="11"/>
      <c r="O54" s="11">
        <v>80.709999999999994</v>
      </c>
      <c r="P54" s="11">
        <v>217.32</v>
      </c>
      <c r="Q54" s="11">
        <v>93.99</v>
      </c>
      <c r="R54" s="11"/>
    </row>
    <row r="55" spans="1:18">
      <c r="A55" s="1" t="s">
        <v>164</v>
      </c>
      <c r="B55" s="1"/>
      <c r="C55" s="1"/>
      <c r="D55" s="1"/>
      <c r="E55" s="1">
        <v>11.09</v>
      </c>
      <c r="F55" s="1">
        <v>25.03</v>
      </c>
      <c r="G55" s="1">
        <v>45.83</v>
      </c>
      <c r="H55" s="1">
        <v>41.9</v>
      </c>
      <c r="I55" s="1"/>
      <c r="K55" s="6" t="s">
        <v>127</v>
      </c>
      <c r="L55" s="11"/>
      <c r="M55" s="11"/>
      <c r="N55" s="11"/>
      <c r="O55" s="11">
        <v>156.11000000000001</v>
      </c>
      <c r="P55" s="11">
        <v>813.58</v>
      </c>
      <c r="Q55" s="11">
        <v>686.72</v>
      </c>
      <c r="R55" s="11">
        <v>615.77</v>
      </c>
    </row>
    <row r="56" spans="1:18">
      <c r="A56" s="1" t="s">
        <v>165</v>
      </c>
      <c r="B56" s="1"/>
      <c r="C56" s="1"/>
      <c r="D56" s="1"/>
      <c r="E56" s="1">
        <v>-1.69</v>
      </c>
      <c r="F56" s="1">
        <v>8.25</v>
      </c>
      <c r="G56" s="1">
        <v>498.14</v>
      </c>
      <c r="H56" s="1">
        <v>-1.58</v>
      </c>
      <c r="I56" s="1"/>
      <c r="K56" s="6" t="s">
        <v>181</v>
      </c>
      <c r="L56" s="11"/>
      <c r="M56" s="11"/>
      <c r="N56" s="11"/>
      <c r="O56" s="11"/>
      <c r="P56" s="11"/>
      <c r="Q56" s="11">
        <v>42.95</v>
      </c>
      <c r="R56" s="11">
        <v>45.33</v>
      </c>
    </row>
    <row r="57" spans="1:18">
      <c r="A57" s="1" t="s">
        <v>169</v>
      </c>
      <c r="B57" s="1"/>
      <c r="C57" s="1"/>
      <c r="D57" s="1"/>
      <c r="E57" s="1">
        <v>9.4</v>
      </c>
      <c r="F57" s="1">
        <v>33.28</v>
      </c>
      <c r="G57" s="1">
        <v>543.97</v>
      </c>
      <c r="H57" s="1">
        <v>40.32</v>
      </c>
      <c r="I57" s="1"/>
      <c r="K57" s="6" t="s">
        <v>106</v>
      </c>
      <c r="L57" s="11"/>
      <c r="M57" s="11"/>
      <c r="N57" s="11"/>
      <c r="O57" s="11"/>
      <c r="P57" s="11">
        <v>97.52</v>
      </c>
      <c r="Q57" s="11">
        <v>91.83</v>
      </c>
      <c r="R57" s="11">
        <v>87.16</v>
      </c>
    </row>
    <row r="58" spans="1:18">
      <c r="K58" s="6" t="s">
        <v>126</v>
      </c>
      <c r="L58" s="9"/>
      <c r="M58" s="9"/>
      <c r="N58" s="9"/>
      <c r="O58" s="11">
        <v>44.56</v>
      </c>
      <c r="P58" s="11"/>
      <c r="Q58" s="11">
        <v>12.2</v>
      </c>
      <c r="R58" s="11">
        <v>15.44</v>
      </c>
    </row>
    <row r="59" spans="1:18">
      <c r="K59" s="25" t="s">
        <v>71</v>
      </c>
      <c r="L59" s="10">
        <f>SUM(L15:L24)+L32</f>
        <v>0</v>
      </c>
      <c r="M59" s="10">
        <f>SUM(M15:M24)+M32</f>
        <v>0</v>
      </c>
      <c r="N59" s="10">
        <f>SUM(N15:N24)+N32</f>
        <v>0</v>
      </c>
      <c r="O59" s="10">
        <f>SUM(O15:O31)+O32</f>
        <v>10336.32</v>
      </c>
      <c r="P59" s="10">
        <f>SUM(P15:P31)+P32</f>
        <v>10331.330000000002</v>
      </c>
      <c r="Q59" s="10">
        <f>SUM(Q15:Q31)+Q32</f>
        <v>6179.27</v>
      </c>
      <c r="R59" s="10">
        <f>SUM(R15:R31)+R32</f>
        <v>6542.79</v>
      </c>
    </row>
    <row r="60" spans="1:18">
      <c r="A60" s="19" t="s">
        <v>10</v>
      </c>
      <c r="K60" s="25" t="s">
        <v>72</v>
      </c>
      <c r="L60" s="10">
        <f>L57+L44+L10+L6+L53+L58+L54</f>
        <v>0</v>
      </c>
      <c r="M60" s="10">
        <f>M57+M44+M10+M6+M53+M58+M54</f>
        <v>0</v>
      </c>
      <c r="N60" s="10">
        <f>N57+N44+N10+N6+N53+N58+N54</f>
        <v>0</v>
      </c>
      <c r="O60" s="10">
        <f>O57+O44+O10+O6+O53+O58+O54+O55</f>
        <v>10336.32</v>
      </c>
      <c r="P60" s="10">
        <f>P57+P44+P10+P6+P53+P58+P54+P55</f>
        <v>10331.329999999998</v>
      </c>
      <c r="Q60" s="10">
        <f>Q57+Q44+Q10+Q6+Q53+Q58+Q54+Q55+Q56</f>
        <v>6179.2699999999995</v>
      </c>
      <c r="R60" s="10">
        <f>R57+R44+R10+R6+R53+R58+R54+R55+R56</f>
        <v>6542.7899999999991</v>
      </c>
    </row>
    <row r="61" spans="1:18">
      <c r="A61" s="20" t="s">
        <v>0</v>
      </c>
      <c r="B61" s="17" t="s">
        <v>25</v>
      </c>
      <c r="C61" s="17" t="s">
        <v>26</v>
      </c>
      <c r="D61" s="17" t="s">
        <v>27</v>
      </c>
      <c r="E61" s="17" t="s">
        <v>28</v>
      </c>
      <c r="F61" s="17" t="s">
        <v>69</v>
      </c>
      <c r="G61" s="17" t="s">
        <v>76</v>
      </c>
      <c r="H61" s="17" t="s">
        <v>108</v>
      </c>
      <c r="I61" s="34"/>
      <c r="P61" s="2"/>
    </row>
    <row r="62" spans="1:18">
      <c r="A62" s="20" t="s">
        <v>11</v>
      </c>
      <c r="B62" s="9"/>
      <c r="C62" s="9"/>
      <c r="D62" s="1"/>
      <c r="E62" s="1"/>
      <c r="F62" s="1">
        <v>-41.47</v>
      </c>
      <c r="G62" s="1">
        <f>F73</f>
        <v>-1990.13</v>
      </c>
      <c r="H62" s="1">
        <f>G73</f>
        <v>-885.43000000000006</v>
      </c>
      <c r="I62" s="12"/>
      <c r="K62" s="19" t="s">
        <v>39</v>
      </c>
    </row>
    <row r="63" spans="1:18">
      <c r="A63" s="20"/>
      <c r="B63" s="9"/>
      <c r="C63" s="11"/>
      <c r="D63" s="1"/>
      <c r="E63" s="1"/>
      <c r="F63" s="1"/>
      <c r="G63" s="1"/>
      <c r="H63" s="1"/>
      <c r="K63" s="20" t="s">
        <v>40</v>
      </c>
      <c r="L63" s="4" t="s">
        <v>25</v>
      </c>
      <c r="M63" s="4" t="s">
        <v>26</v>
      </c>
      <c r="N63" s="4" t="s">
        <v>27</v>
      </c>
      <c r="O63" s="4" t="s">
        <v>28</v>
      </c>
      <c r="P63" s="4" t="s">
        <v>69</v>
      </c>
      <c r="Q63" s="17" t="s">
        <v>76</v>
      </c>
      <c r="R63" s="17" t="s">
        <v>108</v>
      </c>
    </row>
    <row r="64" spans="1:18">
      <c r="A64" s="20"/>
      <c r="B64" s="9"/>
      <c r="C64" s="11"/>
      <c r="D64" s="1"/>
      <c r="E64" s="1"/>
      <c r="F64" s="1"/>
      <c r="G64" s="1"/>
      <c r="H64" s="1"/>
      <c r="K64" s="39" t="s">
        <v>41</v>
      </c>
      <c r="L64" s="40"/>
      <c r="M64" s="40"/>
      <c r="N64" s="40"/>
      <c r="O64" s="40"/>
      <c r="P64" s="40"/>
      <c r="Q64" s="40"/>
      <c r="R64" s="40"/>
    </row>
    <row r="65" spans="1:18">
      <c r="A65" s="20"/>
      <c r="B65" s="9"/>
      <c r="C65" s="11"/>
      <c r="D65" s="1"/>
      <c r="E65" s="1"/>
      <c r="F65" s="1"/>
      <c r="G65" s="1"/>
      <c r="H65" s="1"/>
      <c r="K65" s="32" t="s">
        <v>42</v>
      </c>
      <c r="L65" s="41">
        <f t="shared" ref="L65:R65" si="13">B54</f>
        <v>0</v>
      </c>
      <c r="M65" s="41">
        <f t="shared" si="13"/>
        <v>0</v>
      </c>
      <c r="N65" s="41">
        <f t="shared" si="13"/>
        <v>0</v>
      </c>
      <c r="O65" s="41">
        <f t="shared" si="13"/>
        <v>0</v>
      </c>
      <c r="P65" s="41">
        <f t="shared" si="13"/>
        <v>0</v>
      </c>
      <c r="Q65" s="41">
        <f t="shared" si="13"/>
        <v>0</v>
      </c>
      <c r="R65" s="41">
        <f t="shared" si="13"/>
        <v>0</v>
      </c>
    </row>
    <row r="66" spans="1:18">
      <c r="A66" s="20" t="s">
        <v>12</v>
      </c>
      <c r="B66" s="21"/>
      <c r="C66" s="11"/>
      <c r="D66" s="1"/>
      <c r="E66" s="1">
        <v>940.03</v>
      </c>
      <c r="F66" s="1">
        <v>2209.0500000000002</v>
      </c>
      <c r="G66" s="1">
        <v>624.30999999999995</v>
      </c>
      <c r="H66" s="1">
        <v>400.6</v>
      </c>
      <c r="I66" s="55"/>
      <c r="J66" s="19"/>
      <c r="K66" s="42" t="s">
        <v>43</v>
      </c>
      <c r="L66" s="43">
        <v>0</v>
      </c>
      <c r="M66" s="43">
        <v>0</v>
      </c>
      <c r="N66" s="43" t="e">
        <f>(N6*1000000)/D86</f>
        <v>#DIV/0!</v>
      </c>
      <c r="O66" s="43">
        <f>(O6*1000000)/E86</f>
        <v>420273.09933597554</v>
      </c>
      <c r="P66" s="43">
        <f>(P6*1000000)/F86</f>
        <v>233566.67753905614</v>
      </c>
      <c r="Q66" s="43">
        <f>(Q6*1000000)/G86</f>
        <v>250880.6883135119</v>
      </c>
      <c r="R66" s="43">
        <f>(R6*1000000)/H86</f>
        <v>346286.81565375644</v>
      </c>
    </row>
    <row r="67" spans="1:18">
      <c r="A67" s="6" t="s">
        <v>66</v>
      </c>
      <c r="B67" s="11"/>
      <c r="C67" s="11"/>
      <c r="D67" s="1"/>
      <c r="E67" s="1">
        <v>-247</v>
      </c>
      <c r="F67" s="1">
        <v>-194.96</v>
      </c>
      <c r="G67" s="1">
        <v>-208.11</v>
      </c>
      <c r="H67" s="1">
        <v>-486.97</v>
      </c>
      <c r="I67" s="55"/>
      <c r="J67" s="19"/>
      <c r="K67" s="1" t="s">
        <v>44</v>
      </c>
      <c r="L67" s="8"/>
      <c r="M67" s="8"/>
      <c r="N67" s="8">
        <v>0</v>
      </c>
      <c r="O67" s="8">
        <v>0</v>
      </c>
      <c r="P67" s="8">
        <v>0</v>
      </c>
      <c r="Q67" s="8"/>
      <c r="R67" s="8"/>
    </row>
    <row r="68" spans="1:18">
      <c r="A68" s="6" t="s">
        <v>13</v>
      </c>
      <c r="B68" s="11"/>
      <c r="C68" s="11"/>
      <c r="D68" s="1"/>
      <c r="E68" s="1">
        <v>-175.17</v>
      </c>
      <c r="F68" s="1">
        <v>-1795.17</v>
      </c>
      <c r="G68" s="1">
        <v>-677.32</v>
      </c>
      <c r="H68" s="1">
        <v>227.36</v>
      </c>
      <c r="I68" s="55"/>
      <c r="J68" s="19"/>
      <c r="K68" s="1" t="s">
        <v>45</v>
      </c>
      <c r="L68" s="43" t="e">
        <f t="shared" ref="L68:Q68" si="14">(L64/L65)</f>
        <v>#DIV/0!</v>
      </c>
      <c r="M68" s="43" t="e">
        <f t="shared" si="14"/>
        <v>#DIV/0!</v>
      </c>
      <c r="N68" s="43" t="e">
        <f t="shared" si="14"/>
        <v>#DIV/0!</v>
      </c>
      <c r="O68" s="43" t="e">
        <f t="shared" si="14"/>
        <v>#DIV/0!</v>
      </c>
      <c r="P68" s="43" t="e">
        <f t="shared" si="14"/>
        <v>#DIV/0!</v>
      </c>
      <c r="Q68" s="43" t="e">
        <f t="shared" si="14"/>
        <v>#DIV/0!</v>
      </c>
      <c r="R68" s="43" t="e">
        <f>(R64/R65)</f>
        <v>#DIV/0!</v>
      </c>
    </row>
    <row r="69" spans="1:18">
      <c r="A69" s="6"/>
      <c r="B69" s="11"/>
      <c r="C69" s="11"/>
      <c r="D69" s="11"/>
      <c r="E69" s="11"/>
      <c r="F69" s="11"/>
      <c r="G69" s="11"/>
      <c r="H69" s="11"/>
      <c r="I69" s="55"/>
      <c r="J69" s="19"/>
      <c r="K69" s="1" t="s">
        <v>46</v>
      </c>
      <c r="L69" s="43">
        <v>0</v>
      </c>
      <c r="M69" s="43">
        <v>0</v>
      </c>
      <c r="N69" s="43" t="e">
        <f>(N64/N66)</f>
        <v>#DIV/0!</v>
      </c>
      <c r="O69" s="43">
        <f>(O64/O66)</f>
        <v>0</v>
      </c>
      <c r="P69" s="43">
        <f>(P64/P66)</f>
        <v>0</v>
      </c>
      <c r="Q69" s="43">
        <f>(Q64/Q66)</f>
        <v>0</v>
      </c>
      <c r="R69" s="43">
        <f>(R64/R66)</f>
        <v>0</v>
      </c>
    </row>
    <row r="70" spans="1:18">
      <c r="A70" s="6"/>
      <c r="B70" s="11"/>
      <c r="C70" s="11"/>
      <c r="D70" s="11"/>
      <c r="E70" s="11"/>
      <c r="F70" s="11"/>
      <c r="G70" s="11"/>
      <c r="H70" s="11"/>
      <c r="I70" s="55"/>
      <c r="J70" s="19"/>
      <c r="K70" s="1" t="s">
        <v>47</v>
      </c>
      <c r="L70" s="43" t="e">
        <f t="shared" ref="L70:R70" si="15">B90/B16</f>
        <v>#DIV/0!</v>
      </c>
      <c r="M70" s="43" t="e">
        <f t="shared" si="15"/>
        <v>#DIV/0!</v>
      </c>
      <c r="N70" s="43" t="e">
        <f t="shared" si="15"/>
        <v>#DIV/0!</v>
      </c>
      <c r="O70" s="43">
        <f t="shared" si="15"/>
        <v>4.9710204125506525</v>
      </c>
      <c r="P70" s="43">
        <f t="shared" si="15"/>
        <v>4.4759522272433827</v>
      </c>
      <c r="Q70" s="43">
        <f t="shared" si="15"/>
        <v>0.8842226511425193</v>
      </c>
      <c r="R70" s="43">
        <f t="shared" si="15"/>
        <v>0.67090588325534972</v>
      </c>
    </row>
    <row r="71" spans="1:18">
      <c r="A71" s="20" t="s">
        <v>14</v>
      </c>
      <c r="B71" s="21">
        <f t="shared" ref="B71:G71" si="16">+B68+B69+B70</f>
        <v>0</v>
      </c>
      <c r="C71" s="21">
        <f t="shared" si="16"/>
        <v>0</v>
      </c>
      <c r="D71" s="21">
        <f t="shared" si="16"/>
        <v>0</v>
      </c>
      <c r="E71" s="21">
        <f t="shared" si="16"/>
        <v>-175.17</v>
      </c>
      <c r="F71" s="21">
        <f>+F68+F69+F70</f>
        <v>-1795.17</v>
      </c>
      <c r="G71" s="21">
        <f t="shared" si="16"/>
        <v>-677.32</v>
      </c>
      <c r="H71" s="21">
        <f>+H68+H69+H70</f>
        <v>227.36</v>
      </c>
      <c r="I71" s="55"/>
      <c r="J71" s="19"/>
      <c r="K71" s="45" t="s">
        <v>48</v>
      </c>
      <c r="L71" s="34" t="e">
        <f>(#REF!/L6)</f>
        <v>#REF!</v>
      </c>
      <c r="M71" s="34" t="e">
        <f>(#REF!/M6)</f>
        <v>#REF!</v>
      </c>
      <c r="N71" s="34" t="e">
        <f>(#REF!/N6)</f>
        <v>#REF!</v>
      </c>
      <c r="O71" s="34" t="e">
        <f>(#REF!/O6)</f>
        <v>#REF!</v>
      </c>
      <c r="P71" s="34" t="e">
        <f>(#REF!/P6)</f>
        <v>#REF!</v>
      </c>
      <c r="Q71" s="34" t="e">
        <f>(#REF!/Q6)</f>
        <v>#REF!</v>
      </c>
      <c r="R71" s="34" t="e">
        <f>(#REF!/R6)</f>
        <v>#REF!</v>
      </c>
    </row>
    <row r="72" spans="1:18" ht="15">
      <c r="A72" t="s">
        <v>170</v>
      </c>
      <c r="B72" s="21"/>
      <c r="C72" s="21"/>
      <c r="D72" s="1"/>
      <c r="E72" s="1"/>
      <c r="F72" s="1">
        <v>12.21</v>
      </c>
      <c r="G72" s="1">
        <v>12.21</v>
      </c>
      <c r="H72" s="1"/>
      <c r="I72" s="53"/>
      <c r="J72" s="19"/>
      <c r="K72" s="45" t="s">
        <v>49</v>
      </c>
      <c r="L72" s="34" t="e">
        <f t="shared" ref="L72:R72" si="17">(B16-B20)/L11</f>
        <v>#DIV/0!</v>
      </c>
      <c r="M72" s="34" t="e">
        <f t="shared" si="17"/>
        <v>#DIV/0!</v>
      </c>
      <c r="N72" s="34" t="e">
        <f t="shared" si="17"/>
        <v>#DIV/0!</v>
      </c>
      <c r="O72" s="34">
        <f t="shared" si="17"/>
        <v>0.10845879068720872</v>
      </c>
      <c r="P72" s="34">
        <f t="shared" si="17"/>
        <v>0.11098193296081206</v>
      </c>
      <c r="Q72" s="34">
        <f t="shared" si="17"/>
        <v>0.15790239334837239</v>
      </c>
      <c r="R72" s="34">
        <f t="shared" si="17"/>
        <v>8.8216817546428877E-2</v>
      </c>
    </row>
    <row r="73" spans="1:18">
      <c r="A73" s="20" t="s">
        <v>60</v>
      </c>
      <c r="B73" s="10">
        <f t="shared" ref="B73:H73" si="18">+B67+B71</f>
        <v>0</v>
      </c>
      <c r="C73" s="10">
        <f t="shared" si="18"/>
        <v>0</v>
      </c>
      <c r="D73" s="10">
        <f t="shared" si="18"/>
        <v>0</v>
      </c>
      <c r="E73" s="10">
        <f t="shared" si="18"/>
        <v>-422.16999999999996</v>
      </c>
      <c r="F73" s="18">
        <f t="shared" si="18"/>
        <v>-1990.13</v>
      </c>
      <c r="G73" s="10">
        <f t="shared" si="18"/>
        <v>-885.43000000000006</v>
      </c>
      <c r="H73" s="10">
        <f t="shared" si="18"/>
        <v>-259.61</v>
      </c>
      <c r="I73" s="53"/>
      <c r="K73" s="1" t="s">
        <v>50</v>
      </c>
      <c r="L73" s="47" t="e">
        <f t="shared" ref="L73:R73" si="19">(L10/L6)</f>
        <v>#DIV/0!</v>
      </c>
      <c r="M73" s="47" t="e">
        <f t="shared" si="19"/>
        <v>#DIV/0!</v>
      </c>
      <c r="N73" s="47" t="e">
        <f t="shared" si="19"/>
        <v>#DIV/0!</v>
      </c>
      <c r="O73" s="47">
        <f t="shared" si="19"/>
        <v>1.8993013304537723</v>
      </c>
      <c r="P73" s="47">
        <f t="shared" si="19"/>
        <v>1.4028909454163012</v>
      </c>
      <c r="Q73" s="47">
        <f t="shared" si="19"/>
        <v>0.27280288160556965</v>
      </c>
      <c r="R73" s="47">
        <f t="shared" si="19"/>
        <v>0.1518139451664938</v>
      </c>
    </row>
    <row r="74" spans="1:18">
      <c r="G74" s="36"/>
      <c r="H74" s="36"/>
      <c r="I74" s="56"/>
      <c r="K74" s="1" t="s">
        <v>51</v>
      </c>
      <c r="L74" s="47" t="e">
        <f t="shared" ref="L74:R74" si="20">(L10-L38-L37)/L6</f>
        <v>#DIV/0!</v>
      </c>
      <c r="M74" s="47" t="e">
        <f t="shared" si="20"/>
        <v>#DIV/0!</v>
      </c>
      <c r="N74" s="47" t="e">
        <f t="shared" si="20"/>
        <v>#DIV/0!</v>
      </c>
      <c r="O74" s="47">
        <f t="shared" si="20"/>
        <v>1.8633565148719102</v>
      </c>
      <c r="P74" s="47">
        <f t="shared" si="20"/>
        <v>1.3120212235569837</v>
      </c>
      <c r="Q74" s="47">
        <f t="shared" si="20"/>
        <v>0.25770227643210775</v>
      </c>
      <c r="R74" s="47">
        <f t="shared" si="20"/>
        <v>0.12226132999348617</v>
      </c>
    </row>
    <row r="75" spans="1:18">
      <c r="A75" s="37" t="s">
        <v>15</v>
      </c>
      <c r="B75" s="17" t="s">
        <v>25</v>
      </c>
      <c r="C75" s="17" t="s">
        <v>26</v>
      </c>
      <c r="D75" s="17" t="s">
        <v>27</v>
      </c>
      <c r="E75" s="17" t="s">
        <v>28</v>
      </c>
      <c r="F75" s="17" t="s">
        <v>69</v>
      </c>
      <c r="G75" s="17" t="s">
        <v>76</v>
      </c>
      <c r="H75" s="17" t="s">
        <v>108</v>
      </c>
      <c r="I75" s="56"/>
      <c r="K75" s="1" t="s">
        <v>52</v>
      </c>
      <c r="L75" s="7" t="e">
        <f t="shared" ref="L75:Q75" si="21">(L67/L64)</f>
        <v>#DIV/0!</v>
      </c>
      <c r="M75" s="7" t="e">
        <f t="shared" si="21"/>
        <v>#DIV/0!</v>
      </c>
      <c r="N75" s="7" t="e">
        <f t="shared" si="21"/>
        <v>#DIV/0!</v>
      </c>
      <c r="O75" s="7" t="e">
        <f t="shared" si="21"/>
        <v>#DIV/0!</v>
      </c>
      <c r="P75" s="7" t="e">
        <f t="shared" si="21"/>
        <v>#DIV/0!</v>
      </c>
      <c r="Q75" s="7" t="e">
        <f t="shared" si="21"/>
        <v>#DIV/0!</v>
      </c>
      <c r="R75" s="7" t="e">
        <f>(R67/R64)</f>
        <v>#DIV/0!</v>
      </c>
    </row>
    <row r="76" spans="1:18">
      <c r="A76" s="6" t="s">
        <v>16</v>
      </c>
      <c r="B76" s="38">
        <f>B24</f>
        <v>0</v>
      </c>
      <c r="C76" s="14">
        <f>C24</f>
        <v>0</v>
      </c>
      <c r="D76" s="14"/>
      <c r="E76" s="14">
        <f>E24</f>
        <v>140.60000000000048</v>
      </c>
      <c r="F76" s="14">
        <f>F24</f>
        <v>440.06000000000006</v>
      </c>
      <c r="G76" s="14">
        <f>G24</f>
        <v>778.77999999999986</v>
      </c>
      <c r="H76" s="14">
        <f>H24</f>
        <v>374.33000000000038</v>
      </c>
      <c r="I76" s="57"/>
      <c r="K76" s="1" t="s">
        <v>53</v>
      </c>
      <c r="L76" s="16" t="e">
        <f>(AVERAGE(L36)/B6*365)</f>
        <v>#DIV/0!</v>
      </c>
      <c r="M76" s="16" t="e">
        <f t="shared" ref="M76:R76" si="22">(AVERAGE(L36:M36)/C6*365)</f>
        <v>#DIV/0!</v>
      </c>
      <c r="N76" s="16" t="e">
        <f t="shared" si="22"/>
        <v>#DIV/0!</v>
      </c>
      <c r="O76" s="16">
        <f t="shared" si="22"/>
        <v>21.665903479660674</v>
      </c>
      <c r="P76" s="16">
        <f t="shared" si="22"/>
        <v>42.255079371440317</v>
      </c>
      <c r="Q76" s="16">
        <f t="shared" si="22"/>
        <v>28.155995341986518</v>
      </c>
      <c r="R76" s="16">
        <f t="shared" si="22"/>
        <v>20.335027093432689</v>
      </c>
    </row>
    <row r="77" spans="1:18">
      <c r="A77" s="6" t="s">
        <v>17</v>
      </c>
      <c r="B77" s="38">
        <f>B20</f>
        <v>0</v>
      </c>
      <c r="C77" s="14">
        <f>C20</f>
        <v>0</v>
      </c>
      <c r="D77" s="14"/>
      <c r="E77" s="14">
        <f>E20</f>
        <v>313.33999999999997</v>
      </c>
      <c r="F77" s="14">
        <f>F20</f>
        <v>199.31</v>
      </c>
      <c r="G77" s="14">
        <f>G20</f>
        <v>193</v>
      </c>
      <c r="H77" s="14">
        <f>H20</f>
        <v>227.76</v>
      </c>
      <c r="I77" s="57"/>
      <c r="K77" s="1" t="s">
        <v>54</v>
      </c>
      <c r="L77" s="16" t="e">
        <f>AVERAGE(L46)/(B10+B11+B12)*365</f>
        <v>#DIV/0!</v>
      </c>
      <c r="M77" s="16" t="e">
        <f>AVERAGE(L46:M46)/(C10+C11+C12)*365</f>
        <v>#DIV/0!</v>
      </c>
      <c r="N77" s="16" t="e">
        <f>AVERAGE(M46:N46)/(D10+D11+D12)*365</f>
        <v>#DIV/0!</v>
      </c>
      <c r="O77" s="16" t="e">
        <f>AVERAGE(N46:O46)/(E9)*365</f>
        <v>#DIV/0!</v>
      </c>
      <c r="P77" s="16" t="e">
        <f>AVERAGE(O46:P46)/(F9)*365</f>
        <v>#DIV/0!</v>
      </c>
      <c r="Q77" s="16" t="e">
        <f>AVERAGE(P46:Q46)/(G9)*365</f>
        <v>#DIV/0!</v>
      </c>
      <c r="R77" s="16" t="e">
        <f>AVERAGE(Q46:R46)/(H9)*365</f>
        <v>#DIV/0!</v>
      </c>
    </row>
    <row r="78" spans="1:18">
      <c r="A78" s="6" t="s">
        <v>18</v>
      </c>
      <c r="B78" s="38">
        <f>B23</f>
        <v>0</v>
      </c>
      <c r="C78" s="14">
        <f>C23</f>
        <v>0</v>
      </c>
      <c r="D78" s="14"/>
      <c r="E78" s="14"/>
      <c r="F78" s="14"/>
      <c r="G78" s="14"/>
      <c r="H78" s="14"/>
      <c r="I78" s="54"/>
      <c r="K78" s="1" t="s">
        <v>55</v>
      </c>
      <c r="L78" s="16" t="e">
        <f>(AVERAGE(L33:L33)/(B10+B11+B12)*365)</f>
        <v>#DIV/0!</v>
      </c>
      <c r="M78" s="16" t="e">
        <f>(AVERAGE(L33:M33)/(C10+C11+C12)*365)</f>
        <v>#DIV/0!</v>
      </c>
      <c r="N78" s="16" t="e">
        <f>(AVERAGE(M33:N33)/(D10+D11+D12)*365)</f>
        <v>#DIV/0!</v>
      </c>
      <c r="O78" s="16">
        <f>(AVERAGE(N33:O33)/(E9)*365)</f>
        <v>61.798140201243882</v>
      </c>
      <c r="P78" s="16">
        <f>(AVERAGE(O33:P33)/(F9)*365)</f>
        <v>141.92746797646939</v>
      </c>
      <c r="Q78" s="16">
        <f>(AVERAGE(P33:Q33)/(G9)*365)</f>
        <v>110.61524715594483</v>
      </c>
      <c r="R78" s="16">
        <f>(AVERAGE(Q33:R33)/(H9)*365)</f>
        <v>99.436600286393443</v>
      </c>
    </row>
    <row r="79" spans="1:18">
      <c r="A79" s="6" t="s">
        <v>19</v>
      </c>
      <c r="B79" s="38"/>
      <c r="C79" s="14">
        <f>-((M52-L52)-(M38-L38))</f>
        <v>0</v>
      </c>
      <c r="D79" s="14"/>
      <c r="E79" s="14"/>
      <c r="F79" s="14"/>
      <c r="G79" s="14"/>
      <c r="H79" s="14"/>
      <c r="I79" s="36"/>
      <c r="K79" s="1" t="s">
        <v>68</v>
      </c>
      <c r="L79" s="16" t="e">
        <f t="shared" ref="L79:Q79" si="23">(L78+L76-L77)</f>
        <v>#DIV/0!</v>
      </c>
      <c r="M79" s="16" t="e">
        <f t="shared" si="23"/>
        <v>#DIV/0!</v>
      </c>
      <c r="N79" s="16" t="e">
        <f t="shared" si="23"/>
        <v>#DIV/0!</v>
      </c>
      <c r="O79" s="16" t="e">
        <f t="shared" si="23"/>
        <v>#DIV/0!</v>
      </c>
      <c r="P79" s="16" t="e">
        <f t="shared" si="23"/>
        <v>#DIV/0!</v>
      </c>
      <c r="Q79" s="16" t="e">
        <f t="shared" si="23"/>
        <v>#DIV/0!</v>
      </c>
      <c r="R79" s="16" t="e">
        <f>(R78+R76-R77)</f>
        <v>#DIV/0!</v>
      </c>
    </row>
    <row r="80" spans="1:18">
      <c r="A80" s="6" t="s">
        <v>20</v>
      </c>
      <c r="B80" s="38">
        <f>-B25</f>
        <v>0</v>
      </c>
      <c r="C80" s="14">
        <f>-C25</f>
        <v>0</v>
      </c>
      <c r="D80" s="14"/>
      <c r="E80" s="14"/>
      <c r="F80" s="14"/>
      <c r="G80" s="14"/>
      <c r="H80" s="14"/>
      <c r="I80" s="55"/>
      <c r="K80" s="1" t="s">
        <v>56</v>
      </c>
      <c r="L80" s="16" t="e">
        <f>AVERAGE(L52:L52)/B6*365</f>
        <v>#DIV/0!</v>
      </c>
      <c r="M80" s="16" t="e">
        <f t="shared" ref="M80:R80" si="24">AVERAGE(L52:M52)/C6*365</f>
        <v>#DIV/0!</v>
      </c>
      <c r="N80" s="16" t="e">
        <f t="shared" si="24"/>
        <v>#DIV/0!</v>
      </c>
      <c r="O80" s="16">
        <f t="shared" si="24"/>
        <v>-47.227241291406827</v>
      </c>
      <c r="P80" s="16">
        <f t="shared" si="24"/>
        <v>-177.81433620028955</v>
      </c>
      <c r="Q80" s="16">
        <f t="shared" si="24"/>
        <v>-85.885849063586335</v>
      </c>
      <c r="R80" s="16">
        <f t="shared" si="24"/>
        <v>-20.677645827265316</v>
      </c>
    </row>
    <row r="81" spans="1:18">
      <c r="A81" s="20" t="s">
        <v>21</v>
      </c>
      <c r="B81" s="44">
        <f>SUM(B76:B80)</f>
        <v>0</v>
      </c>
      <c r="C81" s="10">
        <f>SUM(C76:C80)</f>
        <v>0</v>
      </c>
      <c r="D81" s="10"/>
      <c r="E81" s="10">
        <f>SUM(E76:E80)</f>
        <v>453.94000000000045</v>
      </c>
      <c r="F81" s="10">
        <f>SUM(F76:F80)</f>
        <v>639.37000000000012</v>
      </c>
      <c r="G81" s="10">
        <f>SUM(G76:G80)</f>
        <v>971.77999999999986</v>
      </c>
      <c r="H81" s="10">
        <f>SUM(H76:H80)</f>
        <v>602.09000000000037</v>
      </c>
      <c r="I81" s="58"/>
      <c r="K81" s="6" t="s">
        <v>70</v>
      </c>
      <c r="L81" s="7" t="e">
        <f t="shared" ref="L81:R81" si="25">B21/L10</f>
        <v>#DIV/0!</v>
      </c>
      <c r="M81" s="7" t="e">
        <f t="shared" si="25"/>
        <v>#DIV/0!</v>
      </c>
      <c r="N81" s="7" t="e">
        <f t="shared" si="25"/>
        <v>#DIV/0!</v>
      </c>
      <c r="O81" s="7">
        <f t="shared" si="25"/>
        <v>0.116837795409224</v>
      </c>
      <c r="P81" s="7">
        <f t="shared" si="25"/>
        <v>5.4944370802518301E-2</v>
      </c>
      <c r="Q81" s="7">
        <f t="shared" si="25"/>
        <v>0.11258065231369592</v>
      </c>
      <c r="R81" s="7">
        <f t="shared" si="25"/>
        <v>0.17149749558043606</v>
      </c>
    </row>
    <row r="82" spans="1:18">
      <c r="A82" s="6" t="s">
        <v>22</v>
      </c>
      <c r="B82" s="38"/>
      <c r="C82" s="14">
        <f>-(M15-L15)</f>
        <v>0</v>
      </c>
      <c r="D82" s="14"/>
      <c r="E82" s="14"/>
      <c r="F82" s="14"/>
      <c r="G82" s="14"/>
      <c r="H82" s="14"/>
      <c r="I82" s="58"/>
      <c r="K82" s="6" t="s">
        <v>109</v>
      </c>
      <c r="L82" s="6"/>
      <c r="M82" s="6"/>
      <c r="N82" s="6" t="e">
        <f>D4/N15</f>
        <v>#DIV/0!</v>
      </c>
      <c r="O82" s="49">
        <f>E4/O15</f>
        <v>1.3541808754032862</v>
      </c>
      <c r="P82" s="49">
        <f>F4/P15</f>
        <v>0.64540773360325343</v>
      </c>
      <c r="Q82" s="49">
        <f>G4/Q15</f>
        <v>1.1279786506794656</v>
      </c>
      <c r="R82" s="49">
        <f>H4/R15</f>
        <v>1.0126063466434827</v>
      </c>
    </row>
    <row r="83" spans="1:18">
      <c r="A83" s="25" t="s">
        <v>23</v>
      </c>
      <c r="B83" s="44">
        <f t="shared" ref="B83:H83" si="26">SUM(B81:B82)</f>
        <v>0</v>
      </c>
      <c r="C83" s="10">
        <f t="shared" si="26"/>
        <v>0</v>
      </c>
      <c r="D83" s="10"/>
      <c r="E83" s="10">
        <f t="shared" si="26"/>
        <v>453.94000000000045</v>
      </c>
      <c r="F83" s="10">
        <f t="shared" si="26"/>
        <v>639.37000000000012</v>
      </c>
      <c r="G83" s="10">
        <f t="shared" si="26"/>
        <v>971.77999999999986</v>
      </c>
      <c r="H83" s="10">
        <f t="shared" si="26"/>
        <v>602.09000000000037</v>
      </c>
      <c r="I83" s="58"/>
      <c r="P83" s="2"/>
    </row>
    <row r="84" spans="1:18">
      <c r="A84" s="2" t="s">
        <v>24</v>
      </c>
      <c r="G84" s="48"/>
      <c r="H84" s="48"/>
      <c r="I84" s="58"/>
    </row>
    <row r="85" spans="1:18">
      <c r="I85" s="58"/>
    </row>
    <row r="86" spans="1:18" ht="12.75">
      <c r="A86" s="6" t="s">
        <v>61</v>
      </c>
      <c r="B86" s="15"/>
      <c r="C86" s="15"/>
      <c r="D86" s="46"/>
      <c r="E86" s="46">
        <f>conso!D66</f>
        <v>5905.350601600001</v>
      </c>
      <c r="F86" s="46">
        <f>conso!E66</f>
        <v>11764.905974400001</v>
      </c>
      <c r="G86" s="46">
        <f>conso!F66</f>
        <v>13179.531761599999</v>
      </c>
      <c r="H86" s="46">
        <f>conso!G66</f>
        <v>10329.6164864</v>
      </c>
      <c r="I86" s="54"/>
    </row>
    <row r="87" spans="1:18">
      <c r="A87" s="6" t="s">
        <v>62</v>
      </c>
      <c r="B87" s="14">
        <f t="shared" ref="B87:H87" si="27">B86*L64/1000000</f>
        <v>0</v>
      </c>
      <c r="C87" s="14">
        <f t="shared" si="27"/>
        <v>0</v>
      </c>
      <c r="D87" s="14">
        <f t="shared" si="27"/>
        <v>0</v>
      </c>
      <c r="E87" s="14">
        <f t="shared" si="27"/>
        <v>0</v>
      </c>
      <c r="F87" s="14">
        <f t="shared" si="27"/>
        <v>0</v>
      </c>
      <c r="G87" s="14">
        <f t="shared" si="27"/>
        <v>0</v>
      </c>
      <c r="H87" s="14">
        <f t="shared" si="27"/>
        <v>0</v>
      </c>
      <c r="I87" s="58"/>
    </row>
    <row r="88" spans="1:18">
      <c r="A88" s="6" t="s">
        <v>65</v>
      </c>
      <c r="B88" s="14">
        <f t="shared" ref="B88:H88" si="28">L10</f>
        <v>0</v>
      </c>
      <c r="C88" s="14">
        <f t="shared" si="28"/>
        <v>0</v>
      </c>
      <c r="D88" s="14">
        <f t="shared" si="28"/>
        <v>0</v>
      </c>
      <c r="E88" s="14">
        <f t="shared" si="28"/>
        <v>4713.7999999999993</v>
      </c>
      <c r="F88" s="14">
        <f t="shared" si="28"/>
        <v>3854.99</v>
      </c>
      <c r="G88" s="14">
        <f t="shared" si="28"/>
        <v>902.02</v>
      </c>
      <c r="H88" s="14">
        <f t="shared" si="28"/>
        <v>543.04</v>
      </c>
      <c r="I88" s="54"/>
    </row>
    <row r="89" spans="1:18">
      <c r="A89" s="6" t="s">
        <v>63</v>
      </c>
      <c r="B89" s="14">
        <f>L38</f>
        <v>0</v>
      </c>
      <c r="C89" s="14">
        <f>M38</f>
        <v>0</v>
      </c>
      <c r="D89" s="14">
        <f>N38+N37</f>
        <v>0</v>
      </c>
      <c r="E89" s="14">
        <f>O38+O37</f>
        <v>89.210000000000008</v>
      </c>
      <c r="F89" s="14">
        <f>P38+P37</f>
        <v>249.7</v>
      </c>
      <c r="G89" s="14">
        <f>Q38+Q37</f>
        <v>49.93</v>
      </c>
      <c r="H89" s="14">
        <f>R38+R37</f>
        <v>105.71000000000001</v>
      </c>
      <c r="I89" s="48"/>
    </row>
    <row r="90" spans="1:18">
      <c r="A90" s="6" t="s">
        <v>64</v>
      </c>
      <c r="B90" s="10">
        <f t="shared" ref="B90:G90" si="29">B87+B88-B89</f>
        <v>0</v>
      </c>
      <c r="C90" s="10">
        <f t="shared" si="29"/>
        <v>0</v>
      </c>
      <c r="D90" s="10">
        <f t="shared" si="29"/>
        <v>0</v>
      </c>
      <c r="E90" s="10">
        <f t="shared" si="29"/>
        <v>4624.5899999999992</v>
      </c>
      <c r="F90" s="10">
        <f t="shared" si="29"/>
        <v>3605.29</v>
      </c>
      <c r="G90" s="10">
        <f t="shared" si="29"/>
        <v>852.09</v>
      </c>
      <c r="H90" s="10">
        <f>H87+H88-H89</f>
        <v>437.32999999999993</v>
      </c>
    </row>
    <row r="91" spans="1:18" ht="12.75">
      <c r="I91" s="59"/>
    </row>
    <row r="92" spans="1:18">
      <c r="I92" s="58"/>
    </row>
    <row r="93" spans="1:18">
      <c r="I93" s="58"/>
    </row>
    <row r="94" spans="1:18">
      <c r="I94" s="58"/>
    </row>
    <row r="95" spans="1:18">
      <c r="I95" s="54"/>
    </row>
    <row r="97" spans="16:16">
      <c r="P97" s="2"/>
    </row>
    <row r="98" spans="16:16">
      <c r="P98" s="2"/>
    </row>
    <row r="99" spans="16:16">
      <c r="P99" s="2"/>
    </row>
    <row r="100" spans="16:16">
      <c r="P100" s="2"/>
    </row>
  </sheetData>
  <mergeCells count="3">
    <mergeCell ref="A1:R1"/>
    <mergeCell ref="A2:H2"/>
    <mergeCell ref="K2:R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workbookViewId="0">
      <selection activeCell="C5" sqref="C5"/>
    </sheetView>
  </sheetViews>
  <sheetFormatPr defaultColWidth="8.85546875" defaultRowHeight="15"/>
  <cols>
    <col min="1" max="1" width="42.85546875" bestFit="1" customWidth="1"/>
    <col min="2" max="11" width="14.42578125" customWidth="1"/>
  </cols>
  <sheetData>
    <row r="1" spans="1:12">
      <c r="B1" s="116" t="s">
        <v>197</v>
      </c>
      <c r="C1" s="116" t="s">
        <v>202</v>
      </c>
      <c r="D1" s="116" t="s">
        <v>197</v>
      </c>
      <c r="E1" s="116" t="s">
        <v>202</v>
      </c>
      <c r="F1" s="116" t="s">
        <v>197</v>
      </c>
      <c r="G1" s="116" t="s">
        <v>202</v>
      </c>
      <c r="H1" s="116" t="s">
        <v>197</v>
      </c>
      <c r="I1" s="116" t="s">
        <v>202</v>
      </c>
      <c r="J1" s="116" t="s">
        <v>197</v>
      </c>
      <c r="K1" s="116" t="s">
        <v>202</v>
      </c>
    </row>
    <row r="2" spans="1:12">
      <c r="A2" s="117" t="s">
        <v>205</v>
      </c>
      <c r="B2" s="198" t="s">
        <v>173</v>
      </c>
      <c r="C2" s="199"/>
      <c r="D2" s="198" t="s">
        <v>174</v>
      </c>
      <c r="E2" s="199"/>
      <c r="F2" s="198" t="s">
        <v>180</v>
      </c>
      <c r="G2" s="199"/>
      <c r="H2" s="198" t="s">
        <v>176</v>
      </c>
      <c r="I2" s="199"/>
      <c r="J2" s="200" t="s">
        <v>206</v>
      </c>
      <c r="K2" s="201"/>
    </row>
    <row r="3" spans="1:12">
      <c r="A3" s="118"/>
      <c r="B3" s="118"/>
      <c r="C3" s="118"/>
      <c r="D3" s="118"/>
      <c r="E3" s="118"/>
      <c r="F3" s="118"/>
      <c r="G3" s="118"/>
      <c r="H3" s="118"/>
      <c r="I3" s="118"/>
      <c r="J3" s="119"/>
      <c r="K3" s="119"/>
      <c r="L3" s="64" t="s">
        <v>207</v>
      </c>
    </row>
    <row r="4" spans="1:12">
      <c r="A4" s="120" t="s">
        <v>208</v>
      </c>
      <c r="B4" s="118"/>
      <c r="C4" s="118"/>
      <c r="D4" s="118"/>
      <c r="E4" s="118"/>
      <c r="F4" s="118"/>
      <c r="G4" s="118"/>
      <c r="H4" s="118"/>
      <c r="I4" s="118"/>
      <c r="J4" s="119"/>
      <c r="K4" s="119"/>
      <c r="L4" s="121" t="s">
        <v>209</v>
      </c>
    </row>
    <row r="5" spans="1:12">
      <c r="A5" s="118" t="s">
        <v>210</v>
      </c>
      <c r="B5" s="122">
        <f>(2567.36+49.21)*10</f>
        <v>26165.7</v>
      </c>
      <c r="C5" s="122">
        <f>(4068.38+62.59)*10</f>
        <v>41309.700000000004</v>
      </c>
      <c r="D5" s="123">
        <v>7649.2</v>
      </c>
      <c r="E5" s="123">
        <v>18248.8</v>
      </c>
      <c r="F5" s="123">
        <v>20906</v>
      </c>
      <c r="G5" s="123">
        <v>27524</v>
      </c>
      <c r="H5" s="123">
        <v>27507</v>
      </c>
      <c r="I5" s="123">
        <v>39686</v>
      </c>
      <c r="J5" s="124">
        <v>45306.2</v>
      </c>
      <c r="K5" s="124">
        <v>69976.600000000006</v>
      </c>
      <c r="L5" s="125" t="s">
        <v>211</v>
      </c>
    </row>
    <row r="6" spans="1:12">
      <c r="A6" s="118" t="s">
        <v>212</v>
      </c>
      <c r="B6" s="122"/>
      <c r="C6" s="126">
        <v>39436</v>
      </c>
      <c r="D6" s="123"/>
      <c r="E6" s="127">
        <v>28174</v>
      </c>
      <c r="F6" s="123"/>
      <c r="G6" s="128">
        <v>26613</v>
      </c>
      <c r="H6" s="123"/>
      <c r="I6" s="127">
        <v>32563</v>
      </c>
      <c r="J6" s="124"/>
      <c r="K6" s="128">
        <v>52486</v>
      </c>
      <c r="L6" s="167" t="s">
        <v>213</v>
      </c>
    </row>
    <row r="7" spans="1:12">
      <c r="A7" s="118" t="s">
        <v>111</v>
      </c>
      <c r="C7" s="129">
        <f>(C5/C6)^(1/3)-1</f>
        <v>1.5593067524595439E-2</v>
      </c>
      <c r="D7" s="130"/>
      <c r="E7" s="130">
        <f t="shared" ref="E7" si="0">(E5/E6)^(1/3)-1</f>
        <v>-0.13477591471352968</v>
      </c>
      <c r="F7" s="130"/>
      <c r="G7" s="130">
        <f t="shared" ref="G7" si="1">(G5/G6)^(1/3)-1</f>
        <v>1.1282685800827696E-2</v>
      </c>
      <c r="H7" s="130"/>
      <c r="I7" s="130">
        <f t="shared" ref="I7:K7" si="2">(I5/I6)^(1/3)-1</f>
        <v>6.8163268584269687E-2</v>
      </c>
      <c r="J7" s="130"/>
      <c r="K7" s="130">
        <f t="shared" si="2"/>
        <v>0.10061760099080308</v>
      </c>
    </row>
    <row r="8" spans="1:12">
      <c r="A8" s="118" t="s">
        <v>214</v>
      </c>
      <c r="B8" s="122">
        <v>2237.3000000000002</v>
      </c>
      <c r="C8" s="122">
        <v>4445.6000000000004</v>
      </c>
      <c r="D8" s="123">
        <v>-3334</v>
      </c>
      <c r="E8" s="123">
        <v>1332</v>
      </c>
      <c r="F8" s="123">
        <v>10384</v>
      </c>
      <c r="G8" s="123">
        <v>12398</v>
      </c>
      <c r="H8" s="123">
        <v>5618</v>
      </c>
      <c r="I8" s="123">
        <v>9973</v>
      </c>
      <c r="J8" s="124">
        <v>8225.7999999999993</v>
      </c>
      <c r="K8" s="124">
        <v>15123.1</v>
      </c>
    </row>
    <row r="9" spans="1:12">
      <c r="A9" s="118" t="s">
        <v>215</v>
      </c>
      <c r="B9" s="122"/>
      <c r="C9" s="126">
        <v>9046</v>
      </c>
      <c r="D9" s="123"/>
      <c r="E9" s="127">
        <v>1780.4</v>
      </c>
      <c r="F9" s="123"/>
      <c r="G9" s="127">
        <v>12341</v>
      </c>
      <c r="H9" s="123"/>
      <c r="I9" s="127">
        <v>6014</v>
      </c>
      <c r="J9" s="124"/>
      <c r="K9" s="127">
        <v>982.81</v>
      </c>
    </row>
    <row r="10" spans="1:12">
      <c r="A10" s="118" t="s">
        <v>111</v>
      </c>
      <c r="B10" s="130"/>
      <c r="C10" s="129">
        <f>(C8/C9)^(1/3)-1</f>
        <v>-0.21085295711323915</v>
      </c>
      <c r="D10" s="130"/>
      <c r="E10" s="130">
        <f t="shared" ref="E10" si="3">(E8/E9)^(1/3)-1</f>
        <v>-9.2188779269090637E-2</v>
      </c>
      <c r="F10" s="130"/>
      <c r="G10" s="130">
        <f t="shared" ref="G10" si="4">(G8/G9)^(1/3)-1</f>
        <v>1.5372192482916436E-3</v>
      </c>
      <c r="H10" s="130"/>
      <c r="I10" s="130">
        <f t="shared" ref="I10:K10" si="5">(I8/I9)^(1/3)-1</f>
        <v>0.18364317544663744</v>
      </c>
      <c r="J10" s="130"/>
      <c r="K10" s="130">
        <f t="shared" si="5"/>
        <v>1.4872747002612519</v>
      </c>
    </row>
    <row r="11" spans="1:12">
      <c r="A11" s="118" t="s">
        <v>112</v>
      </c>
      <c r="B11" s="129">
        <f t="shared" ref="B11:D11" si="6">B8/B5</f>
        <v>8.5505069614036699E-2</v>
      </c>
      <c r="C11" s="131">
        <f t="shared" si="6"/>
        <v>0.10761637097340333</v>
      </c>
      <c r="D11" s="130">
        <f t="shared" si="6"/>
        <v>-0.43586257386393351</v>
      </c>
      <c r="E11" s="132">
        <f>E8/E5</f>
        <v>7.2991100784709134E-2</v>
      </c>
      <c r="F11" s="132">
        <f t="shared" ref="F11:K11" si="7">F8/F5</f>
        <v>0.49669951210178898</v>
      </c>
      <c r="G11" s="132">
        <f t="shared" si="7"/>
        <v>0.45044324952768494</v>
      </c>
      <c r="H11" s="132">
        <f t="shared" si="7"/>
        <v>0.20423892100192678</v>
      </c>
      <c r="I11" s="132">
        <f t="shared" si="7"/>
        <v>0.25129768684170739</v>
      </c>
      <c r="J11" s="132">
        <f t="shared" si="7"/>
        <v>0.18156013967183299</v>
      </c>
      <c r="K11" s="132">
        <f t="shared" si="7"/>
        <v>0.21611653038301373</v>
      </c>
    </row>
    <row r="12" spans="1:12">
      <c r="A12" s="118" t="s">
        <v>8</v>
      </c>
      <c r="B12" s="122">
        <v>-336.1</v>
      </c>
      <c r="C12" s="122">
        <v>1617</v>
      </c>
      <c r="D12" s="123">
        <v>-1893</v>
      </c>
      <c r="E12" s="123">
        <v>3506</v>
      </c>
      <c r="F12" s="123">
        <v>7393</v>
      </c>
      <c r="G12" s="123">
        <v>10471</v>
      </c>
      <c r="H12" s="123">
        <v>2367</v>
      </c>
      <c r="I12" s="123">
        <v>5438</v>
      </c>
      <c r="J12" s="124">
        <v>3043.9</v>
      </c>
      <c r="K12" s="124">
        <v>8337.4</v>
      </c>
    </row>
    <row r="13" spans="1:12">
      <c r="A13" s="118" t="s">
        <v>216</v>
      </c>
      <c r="B13" s="122"/>
      <c r="C13" s="126">
        <v>60631.6</v>
      </c>
      <c r="D13" s="123"/>
      <c r="E13" s="127">
        <v>2531.5</v>
      </c>
      <c r="F13" s="123"/>
      <c r="G13" s="128">
        <v>8169</v>
      </c>
      <c r="H13" s="123"/>
      <c r="I13" s="127">
        <v>4372</v>
      </c>
      <c r="J13" s="124"/>
      <c r="K13" s="128">
        <v>3717.7</v>
      </c>
    </row>
    <row r="14" spans="1:12">
      <c r="A14" s="118" t="s">
        <v>111</v>
      </c>
      <c r="B14" s="130"/>
      <c r="C14" s="129">
        <f>(C12/C13)^(1/3)-1</f>
        <v>-0.70122999318855683</v>
      </c>
      <c r="D14" s="130"/>
      <c r="E14" s="130">
        <f>(E12/E13)^(1/3)-1</f>
        <v>0.11466575799380951</v>
      </c>
      <c r="F14" s="130"/>
      <c r="G14" s="130">
        <f t="shared" ref="G14:K14" si="8">(G12/G13)^(1/3)-1</f>
        <v>8.6274924709756284E-2</v>
      </c>
      <c r="H14" s="130"/>
      <c r="I14" s="130">
        <f t="shared" si="8"/>
        <v>7.5440407019848443E-2</v>
      </c>
      <c r="J14" s="130"/>
      <c r="K14" s="130">
        <f t="shared" si="8"/>
        <v>0.30893706430517587</v>
      </c>
    </row>
    <row r="15" spans="1:12">
      <c r="A15" s="118" t="s">
        <v>113</v>
      </c>
      <c r="B15" s="133">
        <f t="shared" ref="B15:K15" si="9">B12/B5</f>
        <v>-1.2845060518159271E-2</v>
      </c>
      <c r="C15" s="131">
        <f t="shared" si="9"/>
        <v>3.9143348898684809E-2</v>
      </c>
      <c r="D15" s="130">
        <f t="shared" si="9"/>
        <v>-0.24747686032526278</v>
      </c>
      <c r="E15" s="130">
        <f t="shared" si="9"/>
        <v>0.1921222217351278</v>
      </c>
      <c r="F15" s="130">
        <f t="shared" si="9"/>
        <v>0.35363053668803213</v>
      </c>
      <c r="G15" s="130">
        <f t="shared" si="9"/>
        <v>0.38043162331056535</v>
      </c>
      <c r="H15" s="130">
        <f t="shared" si="9"/>
        <v>8.6050823426764095E-2</v>
      </c>
      <c r="I15" s="130">
        <f t="shared" si="9"/>
        <v>0.13702565136320113</v>
      </c>
      <c r="J15" s="130">
        <f t="shared" si="9"/>
        <v>6.7185065178717265E-2</v>
      </c>
      <c r="K15" s="130">
        <f t="shared" si="9"/>
        <v>0.11914554293863948</v>
      </c>
    </row>
    <row r="16" spans="1:12">
      <c r="A16" s="118" t="s">
        <v>9</v>
      </c>
      <c r="B16" s="134">
        <v>-2.73</v>
      </c>
      <c r="C16" s="135">
        <v>14.91</v>
      </c>
      <c r="D16" s="136">
        <v>-7.47</v>
      </c>
      <c r="E16" s="136">
        <v>12.67</v>
      </c>
      <c r="F16" s="136">
        <v>20.3</v>
      </c>
      <c r="G16" s="136">
        <v>28.8</v>
      </c>
      <c r="H16" s="136">
        <v>13.73</v>
      </c>
      <c r="I16" s="136">
        <v>32.03</v>
      </c>
      <c r="J16" s="137">
        <v>0.61</v>
      </c>
      <c r="K16" s="137">
        <v>1.67</v>
      </c>
    </row>
    <row r="17" spans="1:11">
      <c r="A17" s="118"/>
      <c r="B17" s="118"/>
      <c r="C17" s="118"/>
      <c r="D17" s="123"/>
      <c r="E17" s="118"/>
      <c r="F17" s="123"/>
      <c r="G17" s="136"/>
      <c r="H17" s="123"/>
      <c r="I17" s="136"/>
      <c r="J17" s="124"/>
      <c r="K17" s="137"/>
    </row>
    <row r="18" spans="1:11">
      <c r="A18" s="120" t="s">
        <v>114</v>
      </c>
      <c r="B18" s="118"/>
      <c r="C18" s="118"/>
      <c r="D18" s="123"/>
      <c r="E18" s="118"/>
      <c r="F18" s="123"/>
      <c r="G18" s="136"/>
      <c r="H18" s="123"/>
      <c r="I18" s="136"/>
      <c r="J18" s="124"/>
      <c r="K18" s="137"/>
    </row>
    <row r="19" spans="1:11">
      <c r="A19" s="118" t="s">
        <v>217</v>
      </c>
      <c r="B19" s="122">
        <v>36473.9</v>
      </c>
      <c r="C19" s="122">
        <v>38768.5</v>
      </c>
      <c r="D19" s="123">
        <v>83196.2</v>
      </c>
      <c r="E19" s="123">
        <v>86735.7</v>
      </c>
      <c r="F19" s="123">
        <v>93691</v>
      </c>
      <c r="G19" s="123">
        <v>104161</v>
      </c>
      <c r="H19" s="123">
        <v>25209.1</v>
      </c>
      <c r="I19" s="123">
        <v>30022.2</v>
      </c>
      <c r="J19" s="124">
        <v>33283.199999999997</v>
      </c>
      <c r="K19" s="124">
        <v>38446.800000000003</v>
      </c>
    </row>
    <row r="20" spans="1:11">
      <c r="A20" s="118" t="s">
        <v>65</v>
      </c>
      <c r="B20" s="138">
        <f>SUM(B21:B22)</f>
        <v>10252</v>
      </c>
      <c r="C20" s="138">
        <f>SUM(C21:C22)</f>
        <v>13155.599999999999</v>
      </c>
      <c r="D20" s="138">
        <f t="shared" ref="D20:K20" si="10">SUM(D21:D22)</f>
        <v>45632.6</v>
      </c>
      <c r="E20" s="138">
        <f t="shared" si="10"/>
        <v>51698.2</v>
      </c>
      <c r="F20" s="138">
        <f t="shared" si="10"/>
        <v>15338</v>
      </c>
      <c r="G20" s="138">
        <f t="shared" si="10"/>
        <v>28555</v>
      </c>
      <c r="H20" s="138">
        <f t="shared" si="10"/>
        <v>27692.5</v>
      </c>
      <c r="I20" s="138">
        <f t="shared" si="10"/>
        <v>30675.4</v>
      </c>
      <c r="J20" s="138">
        <f t="shared" si="10"/>
        <v>15355.1</v>
      </c>
      <c r="K20" s="138">
        <f t="shared" si="10"/>
        <v>15706.5</v>
      </c>
    </row>
    <row r="21" spans="1:11">
      <c r="A21" s="118" t="s">
        <v>115</v>
      </c>
      <c r="B21" s="122">
        <v>8649.7000000000007</v>
      </c>
      <c r="C21" s="122">
        <v>3818.2</v>
      </c>
      <c r="D21" s="123">
        <v>10000</v>
      </c>
      <c r="E21" s="136">
        <v>10000</v>
      </c>
      <c r="F21" s="123">
        <v>3590</v>
      </c>
      <c r="G21" s="123">
        <v>21650</v>
      </c>
      <c r="H21" s="123">
        <v>23452.9</v>
      </c>
      <c r="I21" s="123">
        <v>26085.7</v>
      </c>
      <c r="J21" s="124">
        <v>2550.9</v>
      </c>
      <c r="K21" s="124">
        <v>3096.9</v>
      </c>
    </row>
    <row r="22" spans="1:11">
      <c r="A22" s="118" t="s">
        <v>116</v>
      </c>
      <c r="B22" s="122">
        <v>1602.3</v>
      </c>
      <c r="C22" s="122">
        <v>9337.4</v>
      </c>
      <c r="D22" s="123">
        <v>35632.6</v>
      </c>
      <c r="E22" s="136">
        <v>41698.199999999997</v>
      </c>
      <c r="F22" s="123">
        <v>11748</v>
      </c>
      <c r="G22" s="123">
        <v>6905</v>
      </c>
      <c r="H22" s="123">
        <v>4239.6000000000004</v>
      </c>
      <c r="I22" s="123">
        <v>4589.7</v>
      </c>
      <c r="J22" s="124">
        <v>12804.2</v>
      </c>
      <c r="K22" s="124">
        <v>12609.6</v>
      </c>
    </row>
    <row r="23" spans="1:11">
      <c r="A23" s="118"/>
      <c r="B23" s="118"/>
      <c r="C23" s="118"/>
      <c r="D23" s="123"/>
      <c r="E23" s="118"/>
      <c r="F23" s="123"/>
      <c r="G23" s="136"/>
      <c r="H23" s="123"/>
      <c r="I23" s="136"/>
      <c r="J23" s="124"/>
      <c r="K23" s="137"/>
    </row>
    <row r="24" spans="1:11">
      <c r="A24" s="120" t="s">
        <v>10</v>
      </c>
      <c r="B24" s="118"/>
      <c r="C24" s="118"/>
      <c r="D24" s="123"/>
      <c r="E24" s="118"/>
      <c r="F24" s="123"/>
      <c r="G24" s="136"/>
      <c r="H24" s="123"/>
      <c r="I24" s="136"/>
      <c r="J24" s="124"/>
      <c r="K24" s="137"/>
    </row>
    <row r="25" spans="1:11">
      <c r="A25" s="118" t="s">
        <v>117</v>
      </c>
      <c r="B25" s="122">
        <v>5663.9</v>
      </c>
      <c r="C25" s="122">
        <v>-511.3</v>
      </c>
      <c r="D25" s="123">
        <v>-6712.1</v>
      </c>
      <c r="E25" s="123">
        <v>-4516.8</v>
      </c>
      <c r="F25" s="123">
        <v>6960</v>
      </c>
      <c r="G25" s="123">
        <v>10687</v>
      </c>
      <c r="H25" s="123">
        <v>4752</v>
      </c>
      <c r="I25" s="123">
        <v>7735.9</v>
      </c>
      <c r="J25" s="124">
        <v>4991.1000000000004</v>
      </c>
      <c r="K25" s="124">
        <v>9063.7999999999993</v>
      </c>
    </row>
    <row r="26" spans="1:11">
      <c r="A26" s="118" t="s">
        <v>23</v>
      </c>
      <c r="B26" s="138">
        <f>B25-B27</f>
        <v>4781.3999999999996</v>
      </c>
      <c r="C26" s="138">
        <f>C25-C27</f>
        <v>773.2</v>
      </c>
      <c r="D26" s="138">
        <f t="shared" ref="D26:K26" si="11">D25-D27</f>
        <v>-7995.3</v>
      </c>
      <c r="E26" s="138">
        <f t="shared" si="11"/>
        <v>-5980.9</v>
      </c>
      <c r="F26" s="138">
        <f t="shared" si="11"/>
        <v>-6281</v>
      </c>
      <c r="G26" s="138">
        <f t="shared" si="11"/>
        <v>-1376</v>
      </c>
      <c r="H26" s="138">
        <f t="shared" si="11"/>
        <v>-6980.9</v>
      </c>
      <c r="I26" s="138">
        <f t="shared" si="11"/>
        <v>-547.20000000000073</v>
      </c>
      <c r="J26" s="138">
        <f t="shared" si="11"/>
        <v>8325.5</v>
      </c>
      <c r="K26" s="138">
        <f t="shared" si="11"/>
        <v>12679.9</v>
      </c>
    </row>
    <row r="27" spans="1:11">
      <c r="A27" s="118" t="s">
        <v>218</v>
      </c>
      <c r="B27" s="118">
        <v>882.5</v>
      </c>
      <c r="C27" s="118">
        <v>-1284.5</v>
      </c>
      <c r="D27" s="123">
        <v>1283.2</v>
      </c>
      <c r="E27" s="118">
        <v>1464.1</v>
      </c>
      <c r="F27" s="123">
        <v>13241</v>
      </c>
      <c r="G27" s="123">
        <v>12063</v>
      </c>
      <c r="H27" s="123">
        <v>11732.9</v>
      </c>
      <c r="I27" s="123">
        <v>8283.1</v>
      </c>
      <c r="J27" s="124">
        <v>-3334.4</v>
      </c>
      <c r="K27" s="137">
        <v>-3616.1</v>
      </c>
    </row>
    <row r="28" spans="1:11">
      <c r="A28" s="118"/>
      <c r="B28" s="118"/>
      <c r="C28" s="118"/>
      <c r="D28" s="123"/>
      <c r="E28" s="118"/>
      <c r="F28" s="123"/>
      <c r="G28" s="136"/>
      <c r="H28" s="123"/>
      <c r="I28" s="136"/>
      <c r="J28" s="124"/>
      <c r="K28" s="137"/>
    </row>
    <row r="29" spans="1:11">
      <c r="A29" s="118" t="s">
        <v>219</v>
      </c>
      <c r="B29" s="122">
        <f>111695680/1000000</f>
        <v>111.69568</v>
      </c>
      <c r="C29" s="122">
        <f>111695680/1000000</f>
        <v>111.69568</v>
      </c>
      <c r="D29" s="139">
        <f>277943051/1000000</f>
        <v>277.94305100000003</v>
      </c>
      <c r="E29" s="123">
        <f>277988067/1000000</f>
        <v>277.988067</v>
      </c>
      <c r="F29" s="123">
        <f>363602237/1000000</f>
        <v>363.602237</v>
      </c>
      <c r="G29" s="123">
        <f>363602237/1000000</f>
        <v>363.602237</v>
      </c>
      <c r="H29" s="123">
        <f>169402344/1000000</f>
        <v>169.402344</v>
      </c>
      <c r="I29" s="123">
        <f>169402344/1000000</f>
        <v>169.402344</v>
      </c>
      <c r="J29" s="124">
        <f>5095955670/1000000</f>
        <v>5095.9556700000003</v>
      </c>
      <c r="K29" s="124">
        <f>5095955670/1000000</f>
        <v>5095.9556700000003</v>
      </c>
    </row>
    <row r="30" spans="1:11">
      <c r="A30" s="118" t="s">
        <v>62</v>
      </c>
      <c r="B30" s="122">
        <f>B29*B42</f>
        <v>51904.982495999997</v>
      </c>
      <c r="C30" s="122">
        <f>C29*C42</f>
        <v>95315.508528000006</v>
      </c>
      <c r="D30" s="122">
        <f t="shared" ref="D30:K30" si="12">D29*D42</f>
        <v>391441.09587585001</v>
      </c>
      <c r="E30" s="122">
        <f t="shared" si="12"/>
        <v>464823.8468307</v>
      </c>
      <c r="F30" s="122">
        <f t="shared" si="12"/>
        <v>209216.7271698</v>
      </c>
      <c r="G30" s="122">
        <f t="shared" si="12"/>
        <v>341531.58121410001</v>
      </c>
      <c r="H30" s="122">
        <f t="shared" si="12"/>
        <v>25393.411365600001</v>
      </c>
      <c r="I30" s="122">
        <f t="shared" si="12"/>
        <v>51532.193044799998</v>
      </c>
      <c r="J30" s="122">
        <f t="shared" si="12"/>
        <v>71598.177163500004</v>
      </c>
      <c r="K30" s="122">
        <f t="shared" si="12"/>
        <v>270850.04386049998</v>
      </c>
    </row>
    <row r="31" spans="1:11">
      <c r="A31" s="118" t="s">
        <v>220</v>
      </c>
      <c r="B31" s="122">
        <f>B30+B20-B32-B33</f>
        <v>60907.682495999994</v>
      </c>
      <c r="C31" s="122">
        <f>C30+C20-C32-C33</f>
        <v>107328.10852800001</v>
      </c>
      <c r="D31" s="122">
        <f t="shared" ref="D31:H31" si="13">D30+D20-D32-D33</f>
        <v>430341.19587584998</v>
      </c>
      <c r="E31" s="122">
        <f t="shared" si="13"/>
        <v>503136.94683070004</v>
      </c>
      <c r="F31" s="122">
        <f t="shared" si="13"/>
        <v>223223.7271698</v>
      </c>
      <c r="G31" s="122">
        <f t="shared" si="13"/>
        <v>367155.58121410001</v>
      </c>
      <c r="H31" s="122">
        <f t="shared" si="13"/>
        <v>52890.611365599994</v>
      </c>
      <c r="I31" s="122">
        <f>I30+I20-I32-I33</f>
        <v>81985.5930448</v>
      </c>
      <c r="J31" s="122">
        <f t="shared" ref="J31:K31" si="14">J30+J20-J32-J33</f>
        <v>85767.27716350001</v>
      </c>
      <c r="K31" s="122">
        <f t="shared" si="14"/>
        <v>283631.9438605</v>
      </c>
    </row>
    <row r="32" spans="1:11">
      <c r="A32" s="118" t="s">
        <v>221</v>
      </c>
      <c r="B32" s="118">
        <v>505.4</v>
      </c>
      <c r="C32" s="118">
        <v>348.2</v>
      </c>
      <c r="D32" s="123">
        <v>2687.1</v>
      </c>
      <c r="E32" s="118">
        <v>1790.8</v>
      </c>
      <c r="F32" s="123">
        <v>789</v>
      </c>
      <c r="G32" s="123">
        <v>1238</v>
      </c>
      <c r="H32" s="123">
        <v>59.8</v>
      </c>
      <c r="I32" s="123">
        <v>88.8</v>
      </c>
      <c r="J32" s="124">
        <v>986.6</v>
      </c>
      <c r="K32" s="137">
        <v>2710.5</v>
      </c>
    </row>
    <row r="33" spans="1:11">
      <c r="A33" s="118" t="s">
        <v>222</v>
      </c>
      <c r="B33" s="118">
        <v>743.9</v>
      </c>
      <c r="C33" s="118">
        <v>794.8</v>
      </c>
      <c r="D33" s="123">
        <v>4045.4</v>
      </c>
      <c r="E33" s="118">
        <v>11594.3</v>
      </c>
      <c r="F33" s="123">
        <v>542</v>
      </c>
      <c r="G33" s="123">
        <v>1693</v>
      </c>
      <c r="H33" s="123">
        <v>135.5</v>
      </c>
      <c r="I33" s="123">
        <v>133.19999999999999</v>
      </c>
      <c r="J33" s="124">
        <v>199.4</v>
      </c>
      <c r="K33" s="137">
        <v>214.1</v>
      </c>
    </row>
    <row r="34" spans="1:11">
      <c r="A34" s="118"/>
      <c r="B34" s="118"/>
      <c r="C34" s="118"/>
      <c r="D34" s="123"/>
      <c r="E34" s="118"/>
      <c r="F34" s="123"/>
      <c r="G34" s="136"/>
      <c r="H34" s="123"/>
      <c r="I34" s="136"/>
      <c r="J34" s="124"/>
      <c r="K34" s="137"/>
    </row>
    <row r="35" spans="1:11">
      <c r="A35" s="118" t="s">
        <v>223</v>
      </c>
      <c r="B35" s="140">
        <f>B42/B16</f>
        <v>-170.2197802197802</v>
      </c>
      <c r="C35" s="140">
        <f>C42/C16</f>
        <v>57.233400402414489</v>
      </c>
      <c r="D35" s="141">
        <f t="shared" ref="D35:K35" si="15">D42/D16</f>
        <v>-188.53413654618473</v>
      </c>
      <c r="E35" s="141">
        <f t="shared" si="15"/>
        <v>131.97316495659035</v>
      </c>
      <c r="F35" s="141">
        <f t="shared" si="15"/>
        <v>28.344827586206893</v>
      </c>
      <c r="G35" s="141">
        <f t="shared" si="15"/>
        <v>32.614583333333329</v>
      </c>
      <c r="H35" s="141">
        <f t="shared" si="15"/>
        <v>10.917698470502549</v>
      </c>
      <c r="I35" s="141">
        <f t="shared" si="15"/>
        <v>9.4973462379019669</v>
      </c>
      <c r="J35" s="141">
        <f t="shared" si="15"/>
        <v>23.032786885245905</v>
      </c>
      <c r="K35" s="141">
        <f t="shared" si="15"/>
        <v>31.826347305389223</v>
      </c>
    </row>
    <row r="36" spans="1:11">
      <c r="A36" s="118" t="s">
        <v>52</v>
      </c>
      <c r="B36" s="168">
        <f>B37/B42</f>
        <v>2.151925973746503E-3</v>
      </c>
      <c r="C36" s="168">
        <f>C37/C42</f>
        <v>4.6874084490537296E-3</v>
      </c>
      <c r="D36" s="142">
        <f t="shared" ref="D36:K36" si="16">D37/D42</f>
        <v>0</v>
      </c>
      <c r="E36" s="142">
        <f t="shared" si="16"/>
        <v>0</v>
      </c>
      <c r="F36" s="142">
        <f t="shared" si="16"/>
        <v>0</v>
      </c>
      <c r="G36" s="142">
        <f t="shared" si="16"/>
        <v>0</v>
      </c>
      <c r="H36" s="142">
        <f t="shared" si="16"/>
        <v>2.6684456304202801E-2</v>
      </c>
      <c r="I36" s="142">
        <f t="shared" si="16"/>
        <v>1.8080210387902695E-2</v>
      </c>
      <c r="J36" s="142">
        <f t="shared" si="16"/>
        <v>2.562277580071174E-2</v>
      </c>
      <c r="K36" s="142">
        <f t="shared" si="16"/>
        <v>6.7732831608654752E-3</v>
      </c>
    </row>
    <row r="37" spans="1:11">
      <c r="A37" s="118" t="s">
        <v>224</v>
      </c>
      <c r="B37" s="143">
        <v>1</v>
      </c>
      <c r="C37" s="143">
        <v>4</v>
      </c>
      <c r="D37" s="123">
        <v>0</v>
      </c>
      <c r="E37" s="136">
        <v>0</v>
      </c>
      <c r="F37" s="123"/>
      <c r="G37" s="136"/>
      <c r="H37" s="123">
        <v>4</v>
      </c>
      <c r="I37" s="136">
        <v>5.5</v>
      </c>
      <c r="J37" s="137">
        <v>0.36</v>
      </c>
      <c r="K37" s="137">
        <v>0.36</v>
      </c>
    </row>
    <row r="38" spans="1:11">
      <c r="A38" s="118" t="s">
        <v>225</v>
      </c>
      <c r="B38" s="144">
        <f>B42/B44</f>
        <v>1.4230719088444066</v>
      </c>
      <c r="C38" s="145">
        <f>C42/C44</f>
        <v>2.4585812844964341</v>
      </c>
      <c r="D38" s="146">
        <f t="shared" ref="D38:K38" si="17">D42/D44</f>
        <v>4.7050357573525003</v>
      </c>
      <c r="E38" s="146">
        <f t="shared" si="17"/>
        <v>5.3590833627987093</v>
      </c>
      <c r="F38" s="146">
        <f t="shared" si="17"/>
        <v>2.2330504228773309</v>
      </c>
      <c r="G38" s="146">
        <f t="shared" si="17"/>
        <v>3.2788815508117239</v>
      </c>
      <c r="H38" s="146">
        <f t="shared" si="17"/>
        <v>1.0073113028866563</v>
      </c>
      <c r="I38" s="146">
        <f t="shared" si="17"/>
        <v>1.7164695806703039</v>
      </c>
      <c r="J38" s="146">
        <f t="shared" si="17"/>
        <v>2.1511806906637587</v>
      </c>
      <c r="K38" s="146">
        <f t="shared" si="17"/>
        <v>7.0448007080043062</v>
      </c>
    </row>
    <row r="39" spans="1:11">
      <c r="A39" s="118" t="s">
        <v>118</v>
      </c>
      <c r="B39" s="147">
        <f>B31/B8</f>
        <v>27.223744020024132</v>
      </c>
      <c r="C39" s="147">
        <f>C31/C8</f>
        <v>24.142547356487313</v>
      </c>
      <c r="D39" s="148">
        <f t="shared" ref="D39:K39" si="18">D31/D8</f>
        <v>-129.07654345406419</v>
      </c>
      <c r="E39" s="148">
        <f t="shared" si="18"/>
        <v>377.73044056358862</v>
      </c>
      <c r="F39" s="148">
        <f t="shared" si="18"/>
        <v>21.496892061806626</v>
      </c>
      <c r="G39" s="148">
        <f t="shared" si="18"/>
        <v>29.61409753299726</v>
      </c>
      <c r="H39" s="148">
        <f t="shared" si="18"/>
        <v>9.414491165112139</v>
      </c>
      <c r="I39" s="148">
        <f t="shared" si="18"/>
        <v>8.2207553439085537</v>
      </c>
      <c r="J39" s="148">
        <f t="shared" si="18"/>
        <v>10.426618342714388</v>
      </c>
      <c r="K39" s="148">
        <f t="shared" si="18"/>
        <v>18.754881198993591</v>
      </c>
    </row>
    <row r="40" spans="1:11">
      <c r="A40" s="118"/>
      <c r="B40" s="118"/>
      <c r="C40" s="118"/>
      <c r="D40" s="123"/>
      <c r="E40" s="118"/>
      <c r="F40" s="123"/>
      <c r="G40" s="136"/>
      <c r="H40" s="123"/>
      <c r="I40" s="136"/>
      <c r="J40" s="124"/>
      <c r="K40" s="137"/>
    </row>
    <row r="41" spans="1:11">
      <c r="A41" s="120" t="s">
        <v>226</v>
      </c>
      <c r="B41" s="118"/>
      <c r="C41" s="118"/>
      <c r="D41" s="123"/>
      <c r="E41" s="118"/>
      <c r="F41" s="123"/>
      <c r="G41" s="136"/>
      <c r="H41" s="123"/>
      <c r="I41" s="136"/>
      <c r="J41" s="124"/>
      <c r="K41" s="137"/>
    </row>
    <row r="42" spans="1:11">
      <c r="A42" s="118" t="s">
        <v>227</v>
      </c>
      <c r="B42" s="148">
        <v>464.7</v>
      </c>
      <c r="C42" s="118">
        <v>853.35</v>
      </c>
      <c r="D42" s="136">
        <v>1408.35</v>
      </c>
      <c r="E42" s="148">
        <v>1672.1</v>
      </c>
      <c r="F42" s="136">
        <v>575.4</v>
      </c>
      <c r="G42" s="136">
        <v>939.3</v>
      </c>
      <c r="H42" s="136">
        <v>149.9</v>
      </c>
      <c r="I42" s="136">
        <v>304.2</v>
      </c>
      <c r="J42" s="137">
        <v>14.05</v>
      </c>
      <c r="K42" s="137">
        <v>53.15</v>
      </c>
    </row>
    <row r="43" spans="1:11">
      <c r="A43" s="118" t="s">
        <v>228</v>
      </c>
      <c r="B43" s="149">
        <f>B19</f>
        <v>36473.9</v>
      </c>
      <c r="C43" s="149">
        <f>C19</f>
        <v>38768.5</v>
      </c>
      <c r="D43" s="149">
        <f t="shared" ref="D43:K43" si="19">D19</f>
        <v>83196.2</v>
      </c>
      <c r="E43" s="149">
        <f t="shared" si="19"/>
        <v>86735.7</v>
      </c>
      <c r="F43" s="149">
        <f t="shared" si="19"/>
        <v>93691</v>
      </c>
      <c r="G43" s="149">
        <f t="shared" si="19"/>
        <v>104161</v>
      </c>
      <c r="H43" s="149">
        <f t="shared" si="19"/>
        <v>25209.1</v>
      </c>
      <c r="I43" s="149">
        <f t="shared" si="19"/>
        <v>30022.2</v>
      </c>
      <c r="J43" s="149">
        <f t="shared" si="19"/>
        <v>33283.199999999997</v>
      </c>
      <c r="K43" s="149">
        <f t="shared" si="19"/>
        <v>38446.800000000003</v>
      </c>
    </row>
    <row r="44" spans="1:11">
      <c r="A44" s="118" t="s">
        <v>229</v>
      </c>
      <c r="B44" s="141">
        <f>B43/B29</f>
        <v>326.54709653945434</v>
      </c>
      <c r="C44" s="141">
        <f>C43/C29</f>
        <v>347.09041567229815</v>
      </c>
      <c r="D44" s="141">
        <f t="shared" ref="D44:K44" si="20">D43/D29</f>
        <v>299.32822461533669</v>
      </c>
      <c r="E44" s="141">
        <f t="shared" si="20"/>
        <v>312.01231382352825</v>
      </c>
      <c r="F44" s="141">
        <f t="shared" si="20"/>
        <v>257.67443229454057</v>
      </c>
      <c r="G44" s="141">
        <f t="shared" si="20"/>
        <v>286.4696346738923</v>
      </c>
      <c r="H44" s="141">
        <f t="shared" si="20"/>
        <v>148.81199046454751</v>
      </c>
      <c r="I44" s="141">
        <f t="shared" si="20"/>
        <v>177.22423014406459</v>
      </c>
      <c r="J44" s="141">
        <f t="shared" si="20"/>
        <v>6.5312970040023908</v>
      </c>
      <c r="K44" s="141">
        <f t="shared" si="20"/>
        <v>7.5445711245757368</v>
      </c>
    </row>
    <row r="45" spans="1:11">
      <c r="A45" s="118" t="s">
        <v>119</v>
      </c>
      <c r="B45" s="150">
        <f>B12/B19</f>
        <v>-9.214808397237477E-3</v>
      </c>
      <c r="C45" s="150">
        <f>C12/C19</f>
        <v>4.1709119517133755E-2</v>
      </c>
      <c r="D45" s="151">
        <f t="shared" ref="D45:K45" si="21">D12/D19</f>
        <v>-2.2753443065909262E-2</v>
      </c>
      <c r="E45" s="151">
        <f t="shared" si="21"/>
        <v>4.0421648755933258E-2</v>
      </c>
      <c r="F45" s="151">
        <f t="shared" si="21"/>
        <v>7.8908326306689008E-2</v>
      </c>
      <c r="G45" s="151">
        <f t="shared" si="21"/>
        <v>0.10052706867253579</v>
      </c>
      <c r="H45" s="151">
        <f t="shared" si="21"/>
        <v>9.3894665021758028E-2</v>
      </c>
      <c r="I45" s="151">
        <f t="shared" si="21"/>
        <v>0.1811326285215607</v>
      </c>
      <c r="J45" s="151">
        <f t="shared" si="21"/>
        <v>9.1454547639650038E-2</v>
      </c>
      <c r="K45" s="151">
        <f t="shared" si="21"/>
        <v>0.2168554990272272</v>
      </c>
    </row>
    <row r="46" spans="1:11">
      <c r="A46" s="118" t="s">
        <v>120</v>
      </c>
      <c r="B46" s="150">
        <f>B47/B49</f>
        <v>-1.4224286238771946E-3</v>
      </c>
      <c r="C46" s="150">
        <f>C47/C49</f>
        <v>4.367953637204592E-2</v>
      </c>
      <c r="D46" s="151">
        <f t="shared" ref="D46:K46" si="22">D47/D49</f>
        <v>-3.7239817715449978E-2</v>
      </c>
      <c r="E46" s="151">
        <f t="shared" si="22"/>
        <v>1.1419434596483341E-2</v>
      </c>
      <c r="F46" s="151">
        <f t="shared" si="22"/>
        <v>0.10002507648327398</v>
      </c>
      <c r="G46" s="151">
        <f t="shared" si="22"/>
        <v>9.3410656599073674E-2</v>
      </c>
      <c r="H46" s="151">
        <f t="shared" si="22"/>
        <v>7.1649633201206889E-2</v>
      </c>
      <c r="I46" s="151">
        <f t="shared" si="22"/>
        <v>0.12712360033636186</v>
      </c>
      <c r="J46" s="151">
        <f t="shared" si="22"/>
        <v>0.12362121358654986</v>
      </c>
      <c r="K46" s="151">
        <f t="shared" si="22"/>
        <v>0.26294189245221605</v>
      </c>
    </row>
    <row r="47" spans="1:11">
      <c r="A47" s="118" t="s">
        <v>178</v>
      </c>
      <c r="B47" s="152">
        <f>B8-B48</f>
        <v>-74</v>
      </c>
      <c r="C47" s="152">
        <f>C8-C48</f>
        <v>2139.0000000000005</v>
      </c>
      <c r="D47" s="152">
        <f t="shared" ref="D47:K47" si="23">D8-D48</f>
        <v>-3529.4</v>
      </c>
      <c r="E47" s="152">
        <f t="shared" si="23"/>
        <v>1117.7</v>
      </c>
      <c r="F47" s="152">
        <f t="shared" si="23"/>
        <v>9972</v>
      </c>
      <c r="G47" s="152">
        <f t="shared" si="23"/>
        <v>12000</v>
      </c>
      <c r="H47" s="152">
        <f t="shared" si="23"/>
        <v>3875.5</v>
      </c>
      <c r="I47" s="152">
        <f t="shared" si="23"/>
        <v>8042.5</v>
      </c>
      <c r="J47" s="152">
        <f t="shared" si="23"/>
        <v>4857.2999999999993</v>
      </c>
      <c r="K47" s="152">
        <f t="shared" si="23"/>
        <v>11795.1</v>
      </c>
    </row>
    <row r="48" spans="1:11">
      <c r="A48" s="118" t="s">
        <v>177</v>
      </c>
      <c r="B48" s="153">
        <v>2311.3000000000002</v>
      </c>
      <c r="C48" s="153">
        <v>2306.6</v>
      </c>
      <c r="D48" s="154">
        <v>195.4</v>
      </c>
      <c r="E48" s="148">
        <v>214.3</v>
      </c>
      <c r="F48" s="154">
        <v>412</v>
      </c>
      <c r="G48" s="155">
        <v>398</v>
      </c>
      <c r="H48" s="154">
        <v>1742.5</v>
      </c>
      <c r="I48" s="155">
        <v>1930.5</v>
      </c>
      <c r="J48" s="156">
        <v>3368.5</v>
      </c>
      <c r="K48" s="157">
        <v>3328</v>
      </c>
    </row>
    <row r="49" spans="1:11">
      <c r="A49" s="118" t="s">
        <v>230</v>
      </c>
      <c r="B49" s="152">
        <f>B19+B50</f>
        <v>52023.7</v>
      </c>
      <c r="C49" s="152">
        <f>C19+C50</f>
        <v>48970.3</v>
      </c>
      <c r="D49" s="152">
        <f t="shared" ref="D49:K49" si="24">D19+D50</f>
        <v>94774.9</v>
      </c>
      <c r="E49" s="152">
        <f t="shared" si="24"/>
        <v>97877</v>
      </c>
      <c r="F49" s="152">
        <f t="shared" si="24"/>
        <v>99695</v>
      </c>
      <c r="G49" s="152">
        <f t="shared" si="24"/>
        <v>128465</v>
      </c>
      <c r="H49" s="152">
        <f t="shared" si="24"/>
        <v>54089.599999999999</v>
      </c>
      <c r="I49" s="152">
        <f t="shared" si="24"/>
        <v>63265.2</v>
      </c>
      <c r="J49" s="152">
        <f t="shared" si="24"/>
        <v>39291.799999999996</v>
      </c>
      <c r="K49" s="152">
        <f t="shared" si="24"/>
        <v>44858.200000000004</v>
      </c>
    </row>
    <row r="50" spans="1:11">
      <c r="A50" s="118" t="s">
        <v>231</v>
      </c>
      <c r="B50" s="146">
        <v>15549.8</v>
      </c>
      <c r="C50" s="146">
        <v>10201.799999999999</v>
      </c>
      <c r="D50" s="136">
        <v>11578.7</v>
      </c>
      <c r="E50" s="136">
        <v>11141.3</v>
      </c>
      <c r="F50" s="136">
        <v>6004</v>
      </c>
      <c r="G50" s="136">
        <v>24304</v>
      </c>
      <c r="H50" s="136">
        <v>28880.5</v>
      </c>
      <c r="I50" s="136">
        <v>33243</v>
      </c>
      <c r="J50" s="137">
        <v>6008.6</v>
      </c>
      <c r="K50" s="137">
        <v>6411.4</v>
      </c>
    </row>
    <row r="51" spans="1:11">
      <c r="A51" s="118" t="s">
        <v>124</v>
      </c>
      <c r="B51" s="158">
        <f t="shared" ref="B51:K51" si="25">B5/SUM(B52:B54)</f>
        <v>0.60278936686348272</v>
      </c>
      <c r="C51" s="159">
        <f t="shared" si="25"/>
        <v>0.96934264434651629</v>
      </c>
      <c r="D51" s="160">
        <f t="shared" si="25"/>
        <v>2.0036672254819781</v>
      </c>
      <c r="E51" s="160">
        <f t="shared" si="25"/>
        <v>3.6289299421321615</v>
      </c>
      <c r="F51" s="160">
        <f t="shared" si="25"/>
        <v>0.69887780402738942</v>
      </c>
      <c r="G51" s="160">
        <f t="shared" si="25"/>
        <v>0.64388746707340461</v>
      </c>
      <c r="H51" s="160">
        <f t="shared" si="25"/>
        <v>0.58510468581492847</v>
      </c>
      <c r="I51" s="160">
        <f t="shared" si="25"/>
        <v>0.75245534867847252</v>
      </c>
      <c r="J51" s="160">
        <f t="shared" si="25"/>
        <v>1.2059817024640715</v>
      </c>
      <c r="K51" s="160">
        <f t="shared" si="25"/>
        <v>1.8892323641930149</v>
      </c>
    </row>
    <row r="52" spans="1:11">
      <c r="A52" s="118" t="s">
        <v>232</v>
      </c>
      <c r="B52" s="148">
        <v>32706</v>
      </c>
      <c r="C52" s="148">
        <v>32127.7</v>
      </c>
      <c r="D52" s="136">
        <f>1015.1+278.3</f>
        <v>1293.4000000000001</v>
      </c>
      <c r="E52" s="118">
        <f>1046.2+247.3</f>
        <v>1293.5</v>
      </c>
      <c r="F52" s="136">
        <v>2067.31</v>
      </c>
      <c r="G52" s="136">
        <v>1973.3</v>
      </c>
      <c r="H52" s="136">
        <v>29447.200000000001</v>
      </c>
      <c r="I52" s="136">
        <v>51776.7</v>
      </c>
      <c r="J52" s="137">
        <v>36982.6</v>
      </c>
      <c r="K52" s="137">
        <v>36204.6</v>
      </c>
    </row>
    <row r="53" spans="1:11">
      <c r="A53" s="118" t="s">
        <v>233</v>
      </c>
      <c r="B53" s="148">
        <v>1726.4</v>
      </c>
      <c r="C53" s="148">
        <v>1739</v>
      </c>
      <c r="D53" s="136">
        <v>2292.5</v>
      </c>
      <c r="E53" s="118">
        <v>3394.9</v>
      </c>
      <c r="F53" s="136">
        <v>19797.3</v>
      </c>
      <c r="G53" s="136">
        <v>32974</v>
      </c>
      <c r="H53" s="136">
        <v>17017.099999999999</v>
      </c>
      <c r="I53" s="136">
        <v>424.4</v>
      </c>
      <c r="J53" s="137">
        <v>571.29999999999995</v>
      </c>
      <c r="K53" s="137">
        <v>824.1</v>
      </c>
    </row>
    <row r="54" spans="1:11">
      <c r="A54" s="118" t="s">
        <v>234</v>
      </c>
      <c r="B54" s="148">
        <f>8607.7+367.6</f>
        <v>8975.3000000000011</v>
      </c>
      <c r="C54" s="148">
        <f>8387.3+362.2</f>
        <v>8749.5</v>
      </c>
      <c r="D54" s="136">
        <v>231.7</v>
      </c>
      <c r="E54" s="118">
        <v>340.3</v>
      </c>
      <c r="F54" s="136">
        <v>8049.06</v>
      </c>
      <c r="G54" s="136">
        <v>7799.3</v>
      </c>
      <c r="H54" s="136">
        <v>547.79999999999995</v>
      </c>
      <c r="I54" s="136">
        <v>540.9</v>
      </c>
      <c r="J54" s="137">
        <v>14</v>
      </c>
      <c r="K54" s="137">
        <v>11</v>
      </c>
    </row>
    <row r="55" spans="1:11">
      <c r="A55" s="118" t="s">
        <v>121</v>
      </c>
      <c r="B55" s="140">
        <f>B20/B19</f>
        <v>0.28107770213769295</v>
      </c>
      <c r="C55" s="140">
        <f>C20/C19</f>
        <v>0.33933734862065851</v>
      </c>
      <c r="D55" s="141">
        <f t="shared" ref="D55:K55" si="26">D20/D19</f>
        <v>0.54849380139958315</v>
      </c>
      <c r="E55" s="141">
        <f t="shared" si="26"/>
        <v>0.59604292119623181</v>
      </c>
      <c r="F55" s="141">
        <f t="shared" si="26"/>
        <v>0.16370836046151713</v>
      </c>
      <c r="G55" s="141">
        <f t="shared" si="26"/>
        <v>0.2741429133744876</v>
      </c>
      <c r="H55" s="141">
        <f t="shared" si="26"/>
        <v>1.0985120452534998</v>
      </c>
      <c r="I55" s="141">
        <f t="shared" si="26"/>
        <v>1.0217572329809275</v>
      </c>
      <c r="J55" s="141">
        <f t="shared" si="26"/>
        <v>0.46134686568599176</v>
      </c>
      <c r="K55" s="141">
        <f t="shared" si="26"/>
        <v>0.40852554698960641</v>
      </c>
    </row>
    <row r="56" spans="1:11">
      <c r="A56" s="118" t="s">
        <v>179</v>
      </c>
      <c r="B56" s="140">
        <f>(B20-B32)/B19</f>
        <v>0.26722121846032371</v>
      </c>
      <c r="C56" s="140">
        <f>(C20-C32)/C19</f>
        <v>0.33035583011981373</v>
      </c>
      <c r="D56" s="141">
        <f t="shared" ref="D56:K56" si="27">(D20-D32)/D19</f>
        <v>0.51619545123455157</v>
      </c>
      <c r="E56" s="141">
        <f t="shared" si="27"/>
        <v>0.57539629010891702</v>
      </c>
      <c r="F56" s="141">
        <f t="shared" si="27"/>
        <v>0.15528706065684003</v>
      </c>
      <c r="G56" s="141">
        <f t="shared" si="27"/>
        <v>0.26225746680619427</v>
      </c>
      <c r="H56" s="141">
        <f t="shared" si="27"/>
        <v>1.0961398859935501</v>
      </c>
      <c r="I56" s="141">
        <f t="shared" si="27"/>
        <v>1.0187994217612302</v>
      </c>
      <c r="J56" s="141">
        <f t="shared" si="27"/>
        <v>0.431704283241996</v>
      </c>
      <c r="K56" s="141">
        <f t="shared" si="27"/>
        <v>0.33802553138362618</v>
      </c>
    </row>
    <row r="57" spans="1:11">
      <c r="A57" s="118" t="s">
        <v>122</v>
      </c>
      <c r="B57" s="161">
        <f>B58/B59</f>
        <v>-0.10466760961810467</v>
      </c>
      <c r="C57" s="140">
        <f>C58/C59</f>
        <v>4.0992717516289776</v>
      </c>
      <c r="D57" s="141">
        <f t="shared" ref="D57:K57" si="28">D58/D59</f>
        <v>-1.9092286054311371</v>
      </c>
      <c r="E57" s="141">
        <f t="shared" si="28"/>
        <v>0.66736326725579176</v>
      </c>
      <c r="F57" s="141">
        <f t="shared" si="28"/>
        <v>13.114495383887004</v>
      </c>
      <c r="G57" s="141">
        <f t="shared" si="28"/>
        <v>13.948622573520865</v>
      </c>
      <c r="H57" s="141">
        <f t="shared" si="28"/>
        <v>3.0136080870917574</v>
      </c>
      <c r="I57" s="141">
        <f t="shared" si="28"/>
        <v>6.0983469821049443</v>
      </c>
      <c r="J57" s="141">
        <f t="shared" si="28"/>
        <v>6.7359589516017184</v>
      </c>
      <c r="K57" s="141">
        <f t="shared" si="28"/>
        <v>13.678650121767367</v>
      </c>
    </row>
    <row r="58" spans="1:11">
      <c r="A58" s="118" t="s">
        <v>178</v>
      </c>
      <c r="B58" s="148">
        <f>B47</f>
        <v>-74</v>
      </c>
      <c r="C58" s="148">
        <f>C47</f>
        <v>2139.0000000000005</v>
      </c>
      <c r="D58" s="148">
        <f t="shared" ref="D58:K58" si="29">D47</f>
        <v>-3529.4</v>
      </c>
      <c r="E58" s="148">
        <f t="shared" si="29"/>
        <v>1117.7</v>
      </c>
      <c r="F58" s="148">
        <f t="shared" si="29"/>
        <v>9972</v>
      </c>
      <c r="G58" s="148">
        <f t="shared" si="29"/>
        <v>12000</v>
      </c>
      <c r="H58" s="148">
        <f t="shared" si="29"/>
        <v>3875.5</v>
      </c>
      <c r="I58" s="148">
        <f t="shared" si="29"/>
        <v>8042.5</v>
      </c>
      <c r="J58" s="148">
        <f t="shared" si="29"/>
        <v>4857.2999999999993</v>
      </c>
      <c r="K58" s="148">
        <f t="shared" si="29"/>
        <v>11795.1</v>
      </c>
    </row>
    <row r="59" spans="1:11">
      <c r="A59" s="118" t="s">
        <v>91</v>
      </c>
      <c r="B59" s="148">
        <v>707</v>
      </c>
      <c r="C59" s="148">
        <v>521.79999999999995</v>
      </c>
      <c r="D59" s="136">
        <v>1848.6</v>
      </c>
      <c r="E59" s="136">
        <v>1674.8</v>
      </c>
      <c r="F59" s="136">
        <v>760.38</v>
      </c>
      <c r="G59" s="136">
        <v>860.3</v>
      </c>
      <c r="H59" s="154">
        <v>1286</v>
      </c>
      <c r="I59" s="136">
        <v>1318.8</v>
      </c>
      <c r="J59" s="137">
        <v>721.1</v>
      </c>
      <c r="K59" s="137">
        <v>862.3</v>
      </c>
    </row>
    <row r="60" spans="1:11">
      <c r="A60" s="162" t="s">
        <v>123</v>
      </c>
      <c r="B60" s="163">
        <f>B59/B20</f>
        <v>6.8962153726102218E-2</v>
      </c>
      <c r="C60" s="164">
        <f>C59/C20</f>
        <v>3.9663717352306241E-2</v>
      </c>
      <c r="D60" s="165">
        <f t="shared" ref="D60:K60" si="30">D59/D20</f>
        <v>4.0510512221525838E-2</v>
      </c>
      <c r="E60" s="165">
        <f t="shared" si="30"/>
        <v>3.2395712036395852E-2</v>
      </c>
      <c r="F60" s="165">
        <f t="shared" si="30"/>
        <v>4.9574911983309426E-2</v>
      </c>
      <c r="G60" s="165">
        <f t="shared" si="30"/>
        <v>3.0127823498511643E-2</v>
      </c>
      <c r="H60" s="165">
        <f t="shared" si="30"/>
        <v>4.6438566398844451E-2</v>
      </c>
      <c r="I60" s="165">
        <f t="shared" si="30"/>
        <v>4.2992104422436214E-2</v>
      </c>
      <c r="J60" s="165">
        <f t="shared" si="30"/>
        <v>4.6961595821583706E-2</v>
      </c>
      <c r="K60" s="165">
        <f t="shared" si="30"/>
        <v>5.4900837232992709E-2</v>
      </c>
    </row>
    <row r="62" spans="1:11">
      <c r="A62" s="64" t="s">
        <v>235</v>
      </c>
    </row>
    <row r="63" spans="1:11">
      <c r="A63" t="s">
        <v>124</v>
      </c>
      <c r="B63" t="s">
        <v>236</v>
      </c>
      <c r="E63" s="166"/>
      <c r="F63" s="166"/>
    </row>
    <row r="64" spans="1:11">
      <c r="A64" t="s">
        <v>237</v>
      </c>
      <c r="B64" t="s">
        <v>238</v>
      </c>
    </row>
    <row r="65" spans="1:2">
      <c r="A65" t="s">
        <v>64</v>
      </c>
      <c r="B65" t="s">
        <v>239</v>
      </c>
    </row>
    <row r="66" spans="1:2">
      <c r="A66" t="s">
        <v>230</v>
      </c>
      <c r="B66" t="s">
        <v>240</v>
      </c>
    </row>
    <row r="67" spans="1:2">
      <c r="A67" t="s">
        <v>178</v>
      </c>
      <c r="B67" t="s">
        <v>241</v>
      </c>
    </row>
    <row r="68" spans="1:2">
      <c r="A68" t="s">
        <v>120</v>
      </c>
      <c r="B68" t="s">
        <v>242</v>
      </c>
    </row>
    <row r="69" spans="1:2">
      <c r="A69" t="s">
        <v>243</v>
      </c>
      <c r="B69" t="s">
        <v>244</v>
      </c>
    </row>
    <row r="70" spans="1:2">
      <c r="A70" t="s">
        <v>245</v>
      </c>
      <c r="B70" t="s">
        <v>246</v>
      </c>
    </row>
    <row r="71" spans="1:2">
      <c r="A71" t="s">
        <v>247</v>
      </c>
      <c r="B71" t="s">
        <v>248</v>
      </c>
    </row>
    <row r="72" spans="1:2">
      <c r="A72" t="s">
        <v>249</v>
      </c>
      <c r="B72" t="s">
        <v>250</v>
      </c>
    </row>
    <row r="73" spans="1:2">
      <c r="A73" t="s">
        <v>122</v>
      </c>
      <c r="B73" t="s">
        <v>251</v>
      </c>
    </row>
    <row r="74" spans="1:2">
      <c r="A74" t="s">
        <v>123</v>
      </c>
      <c r="B74" t="s">
        <v>252</v>
      </c>
    </row>
  </sheetData>
  <mergeCells count="5">
    <mergeCell ref="F2:G2"/>
    <mergeCell ref="H2:I2"/>
    <mergeCell ref="J2:K2"/>
    <mergeCell ref="B2:C2"/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v11</cp:lastModifiedBy>
  <cp:lastPrinted>2022-07-27T15:57:45Z</cp:lastPrinted>
  <dcterms:created xsi:type="dcterms:W3CDTF">2017-09-19T08:05:47Z</dcterms:created>
  <dcterms:modified xsi:type="dcterms:W3CDTF">2023-06-16T12:22:28Z</dcterms:modified>
</cp:coreProperties>
</file>