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ep\Downloads\"/>
    </mc:Choice>
  </mc:AlternateContent>
  <bookViews>
    <workbookView xWindow="0" yWindow="0" windowWidth="23040" windowHeight="9252"/>
  </bookViews>
  <sheets>
    <sheet name="Summary sheet- CONSOLIDATED" sheetId="7" r:id="rId1"/>
    <sheet name="Standalone" sheetId="9" state="hidden" r:id="rId2"/>
    <sheet name="Final" sheetId="11" state="hidden" r:id="rId3"/>
    <sheet name="Vertical and Horizontal Analysi" sheetId="12" state="hidden" r:id="rId4"/>
  </sheets>
  <definedNames>
    <definedName name="_xlnm.Print_Area" localSheetId="0">'Summary sheet- CONSOLIDATED'!$A$1:$R$82</definedName>
  </definedNames>
  <calcPr calcId="152511"/>
</workbook>
</file>

<file path=xl/calcChain.xml><?xml version="1.0" encoding="utf-8"?>
<calcChain xmlns="http://schemas.openxmlformats.org/spreadsheetml/2006/main">
  <c r="S88" i="7" l="1"/>
  <c r="S87" i="7" s="1"/>
  <c r="R88" i="7"/>
  <c r="R87" i="7"/>
  <c r="M54" i="7"/>
  <c r="N54" i="7"/>
  <c r="O54" i="7"/>
  <c r="P54" i="7"/>
  <c r="Q54" i="7"/>
  <c r="R54" i="7"/>
  <c r="S54" i="7"/>
  <c r="Q45" i="7" l="1"/>
  <c r="M45" i="7"/>
  <c r="H51" i="7"/>
  <c r="H52" i="7" s="1"/>
  <c r="I47" i="7" s="1"/>
  <c r="I51" i="7"/>
  <c r="I7" i="7"/>
  <c r="I6" i="7"/>
  <c r="I52" i="7" l="1"/>
  <c r="S69" i="7"/>
  <c r="R69" i="7"/>
  <c r="S79" i="7"/>
  <c r="S80" i="7"/>
  <c r="S82" i="7"/>
  <c r="S47" i="7"/>
  <c r="S45" i="7" s="1"/>
  <c r="G57" i="7"/>
  <c r="I56" i="7"/>
  <c r="I40" i="7"/>
  <c r="I8" i="7" l="1"/>
  <c r="I18" i="7" s="1"/>
  <c r="I26" i="7" l="1"/>
  <c r="I28" i="7" s="1"/>
  <c r="N16" i="7"/>
  <c r="O16" i="7"/>
  <c r="P16" i="7"/>
  <c r="Q16" i="7"/>
  <c r="R16" i="7"/>
  <c r="S16" i="7"/>
  <c r="I64" i="7" l="1"/>
  <c r="I62" i="7"/>
  <c r="I58" i="7"/>
  <c r="S72" i="7"/>
  <c r="S33" i="7"/>
  <c r="S13" i="7"/>
  <c r="S9" i="7"/>
  <c r="S77" i="7" l="1"/>
  <c r="S78" i="7"/>
  <c r="S85" i="7"/>
  <c r="S62" i="7"/>
  <c r="S63" i="7"/>
  <c r="I63" i="7"/>
  <c r="S14" i="7"/>
  <c r="S76" i="7" s="1"/>
  <c r="I65" i="7"/>
  <c r="S74" i="7" s="1"/>
  <c r="S70" i="7"/>
  <c r="S73" i="7" s="1"/>
  <c r="R82" i="7"/>
  <c r="R80" i="7"/>
  <c r="R79" i="7"/>
  <c r="H58" i="7"/>
  <c r="R47" i="7"/>
  <c r="H40" i="7"/>
  <c r="H7" i="7"/>
  <c r="H6" i="7"/>
  <c r="S81" i="7" l="1"/>
  <c r="S83" i="7" s="1"/>
  <c r="R45" i="7"/>
  <c r="S84" i="7"/>
  <c r="H64" i="7"/>
  <c r="H62" i="7"/>
  <c r="I21" i="7" l="1"/>
  <c r="S86" i="7"/>
  <c r="I33" i="7"/>
  <c r="H8" i="7"/>
  <c r="I36" i="7" l="1"/>
  <c r="I34" i="7"/>
  <c r="H18" i="7"/>
  <c r="R81" i="7"/>
  <c r="R83" i="7" s="1"/>
  <c r="R72" i="7"/>
  <c r="R13" i="7"/>
  <c r="R33" i="7"/>
  <c r="R9" i="7"/>
  <c r="H26" i="7" l="1"/>
  <c r="H28" i="7" s="1"/>
  <c r="I19" i="7"/>
  <c r="S75" i="7"/>
  <c r="R84" i="7"/>
  <c r="R63" i="7"/>
  <c r="H21" i="7"/>
  <c r="R70" i="7"/>
  <c r="R73" i="7" s="1"/>
  <c r="R78" i="7"/>
  <c r="R85" i="7"/>
  <c r="R77" i="7"/>
  <c r="R86" i="7"/>
  <c r="H63" i="7"/>
  <c r="H65" i="7" s="1"/>
  <c r="R74" i="7" s="1"/>
  <c r="R62" i="7"/>
  <c r="R14" i="7" s="1"/>
  <c r="R76" i="7" s="1"/>
  <c r="Q87" i="7"/>
  <c r="Q79" i="7"/>
  <c r="Q80" i="7"/>
  <c r="Q82" i="7"/>
  <c r="Q9" i="7"/>
  <c r="L8" i="7"/>
  <c r="Q67" i="7"/>
  <c r="Q4" i="7"/>
  <c r="G51" i="7"/>
  <c r="H33" i="7" l="1"/>
  <c r="H34" i="7" s="1"/>
  <c r="H36" i="7"/>
  <c r="I37" i="7" s="1"/>
  <c r="G55" i="7"/>
  <c r="G46" i="7"/>
  <c r="G40" i="7"/>
  <c r="R75" i="7" l="1"/>
  <c r="G6" i="7"/>
  <c r="G7" i="7"/>
  <c r="E7" i="12" l="1"/>
  <c r="C60" i="7" l="1"/>
  <c r="D60" i="7"/>
  <c r="E60" i="7"/>
  <c r="F60" i="7"/>
  <c r="Q69" i="7" l="1"/>
  <c r="Q72" i="7" s="1"/>
  <c r="G56" i="7" l="1"/>
  <c r="G60" i="7"/>
  <c r="G58" i="7" l="1"/>
  <c r="P82" i="7"/>
  <c r="K18" i="11"/>
  <c r="K17" i="11"/>
  <c r="K12" i="11"/>
  <c r="J12" i="11"/>
  <c r="K7" i="11"/>
  <c r="K9" i="11" s="1"/>
  <c r="I20" i="11"/>
  <c r="I19" i="11"/>
  <c r="I12" i="11"/>
  <c r="I7" i="11"/>
  <c r="I9" i="11" s="1"/>
  <c r="G18" i="11"/>
  <c r="G12" i="11"/>
  <c r="G7" i="11"/>
  <c r="G9" i="11" s="1"/>
  <c r="E18" i="11"/>
  <c r="I18" i="11" l="1"/>
  <c r="C24" i="11"/>
  <c r="C20" i="11"/>
  <c r="C19" i="11"/>
  <c r="C13" i="11"/>
  <c r="C5" i="11"/>
  <c r="C18" i="11" l="1"/>
  <c r="G62" i="7"/>
  <c r="G64" i="7"/>
  <c r="C27" i="11" l="1"/>
  <c r="Q33" i="7"/>
  <c r="Q62" i="7" s="1"/>
  <c r="Q13" i="7"/>
  <c r="Q63" i="7" s="1"/>
  <c r="Q85" i="7" l="1"/>
  <c r="Q77" i="7"/>
  <c r="Q78" i="7"/>
  <c r="C17" i="11"/>
  <c r="Q70" i="7"/>
  <c r="Q73" i="7" s="1"/>
  <c r="G63" i="7"/>
  <c r="Q14" i="7"/>
  <c r="Q84" i="7"/>
  <c r="G8" i="7"/>
  <c r="G18" i="7" l="1"/>
  <c r="Q76" i="7" s="1"/>
  <c r="G65" i="7"/>
  <c r="C28" i="11" s="1"/>
  <c r="J25" i="11"/>
  <c r="H25" i="11"/>
  <c r="F25" i="11"/>
  <c r="D25" i="11"/>
  <c r="C7" i="11" l="1"/>
  <c r="H19" i="7"/>
  <c r="G26" i="7"/>
  <c r="G33" i="7" s="1"/>
  <c r="G36" i="7" s="1"/>
  <c r="G21" i="7"/>
  <c r="C9" i="11" s="1"/>
  <c r="Q74" i="7"/>
  <c r="Q86" i="7"/>
  <c r="D18" i="11"/>
  <c r="D50" i="11" s="1"/>
  <c r="F18" i="11"/>
  <c r="F50" i="11" s="1"/>
  <c r="H18" i="11"/>
  <c r="H50" i="11" s="1"/>
  <c r="J18" i="11"/>
  <c r="J50" i="11" s="1"/>
  <c r="F6" i="11"/>
  <c r="H6" i="11"/>
  <c r="J6" i="11"/>
  <c r="F8" i="11"/>
  <c r="H8" i="11"/>
  <c r="F11" i="11"/>
  <c r="H11" i="11"/>
  <c r="D11" i="11"/>
  <c r="D6" i="11"/>
  <c r="D8" i="11"/>
  <c r="F7" i="7"/>
  <c r="B6" i="11" s="1"/>
  <c r="B38" i="11"/>
  <c r="O79" i="7"/>
  <c r="P79" i="7"/>
  <c r="B33" i="11" s="1"/>
  <c r="N79" i="7"/>
  <c r="B24" i="11"/>
  <c r="B20" i="11"/>
  <c r="B19" i="11"/>
  <c r="B13" i="11"/>
  <c r="B11" i="11"/>
  <c r="B5" i="11"/>
  <c r="G28" i="7" l="1"/>
  <c r="Q75" i="7"/>
  <c r="H37" i="7"/>
  <c r="C10" i="11"/>
  <c r="G34" i="7"/>
  <c r="C12" i="11" s="1"/>
  <c r="B18" i="11"/>
  <c r="P87" i="7"/>
  <c r="B43" i="11" s="1"/>
  <c r="F64" i="7" l="1"/>
  <c r="F57" i="7"/>
  <c r="C51" i="7"/>
  <c r="D51" i="7"/>
  <c r="E51" i="7"/>
  <c r="F51" i="7"/>
  <c r="F52" i="7" s="1"/>
  <c r="G47" i="7" s="1"/>
  <c r="G52" i="7" s="1"/>
  <c r="F56" i="7"/>
  <c r="B45" i="11"/>
  <c r="P80" i="7"/>
  <c r="B44" i="11" s="1"/>
  <c r="F58" i="7" l="1"/>
  <c r="B25" i="11" s="1"/>
  <c r="P47" i="7"/>
  <c r="P45" i="7" s="1"/>
  <c r="F40" i="7"/>
  <c r="E40" i="7"/>
  <c r="F6" i="7"/>
  <c r="Q81" i="7" l="1"/>
  <c r="Q83" i="7" s="1"/>
  <c r="O82" i="7"/>
  <c r="O87" i="7"/>
  <c r="O80" i="7"/>
  <c r="O69" i="7"/>
  <c r="O72" i="7" s="1"/>
  <c r="P9" i="7"/>
  <c r="B17" i="11" s="1"/>
  <c r="M87" i="7" l="1"/>
  <c r="M81" i="7"/>
  <c r="N80" i="7" l="1"/>
  <c r="M80" i="7"/>
  <c r="C56" i="7"/>
  <c r="C58" i="7" s="1"/>
  <c r="E56" i="7"/>
  <c r="D56" i="7"/>
  <c r="C64" i="7" l="1"/>
  <c r="C62" i="7"/>
  <c r="M82" i="7"/>
  <c r="N82" i="7"/>
  <c r="C52" i="7"/>
  <c r="M69" i="7" l="1"/>
  <c r="M13" i="7"/>
  <c r="M33" i="7"/>
  <c r="M24" i="7"/>
  <c r="M16" i="7" s="1"/>
  <c r="M62" i="7" l="1"/>
  <c r="M14" i="7" s="1"/>
  <c r="C63" i="7"/>
  <c r="C65" i="7" s="1"/>
  <c r="M85" i="7"/>
  <c r="M84" i="7"/>
  <c r="M83" i="7"/>
  <c r="E7" i="7"/>
  <c r="C6" i="7" l="1"/>
  <c r="D6" i="7"/>
  <c r="C8" i="7"/>
  <c r="C18" i="7" s="1"/>
  <c r="B29" i="7"/>
  <c r="M86" i="7" l="1"/>
  <c r="M76" i="7"/>
  <c r="C26" i="7"/>
  <c r="C21" i="7"/>
  <c r="N87" i="7"/>
  <c r="C33" i="7" l="1"/>
  <c r="C36" i="7" s="1"/>
  <c r="I24" i="12"/>
  <c r="I23" i="12"/>
  <c r="I22" i="12"/>
  <c r="I21" i="12"/>
  <c r="I16" i="12"/>
  <c r="I15" i="12"/>
  <c r="I14" i="12"/>
  <c r="I13" i="12"/>
  <c r="I12" i="12"/>
  <c r="I11" i="12"/>
  <c r="I10" i="12"/>
  <c r="I9" i="12"/>
  <c r="I8" i="12"/>
  <c r="I4" i="12"/>
  <c r="K8" i="12"/>
  <c r="K9" i="12"/>
  <c r="K15" i="12"/>
  <c r="K16" i="12"/>
  <c r="K21" i="12"/>
  <c r="K22" i="12"/>
  <c r="K24" i="12"/>
  <c r="K4" i="12"/>
  <c r="H24" i="12"/>
  <c r="G24" i="12"/>
  <c r="H23" i="12"/>
  <c r="G23" i="12"/>
  <c r="H22" i="12"/>
  <c r="G22" i="12"/>
  <c r="H21" i="12"/>
  <c r="G21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4" i="12"/>
  <c r="G4" i="12"/>
  <c r="C33" i="12"/>
  <c r="C26" i="12"/>
  <c r="K26" i="12" s="1"/>
  <c r="E17" i="12"/>
  <c r="I17" i="12" s="1"/>
  <c r="D7" i="12"/>
  <c r="D17" i="12" s="1"/>
  <c r="C7" i="12"/>
  <c r="C17" i="12" s="1"/>
  <c r="G17" i="12" s="1"/>
  <c r="D5" i="12"/>
  <c r="H7" i="12" l="1"/>
  <c r="K17" i="12"/>
  <c r="H17" i="12"/>
  <c r="I7" i="12"/>
  <c r="G7" i="12"/>
  <c r="K7" i="12"/>
  <c r="E25" i="12"/>
  <c r="I25" i="12" s="1"/>
  <c r="E20" i="12"/>
  <c r="C25" i="12"/>
  <c r="C20" i="12"/>
  <c r="D18" i="12"/>
  <c r="D25" i="12"/>
  <c r="D20" i="12"/>
  <c r="D62" i="7"/>
  <c r="F62" i="7"/>
  <c r="B27" i="11" s="1"/>
  <c r="C28" i="12" l="1"/>
  <c r="G28" i="12" s="1"/>
  <c r="G25" i="12"/>
  <c r="K25" i="12"/>
  <c r="H25" i="12"/>
  <c r="E28" i="12"/>
  <c r="I28" i="12" s="1"/>
  <c r="E27" i="12"/>
  <c r="D28" i="12"/>
  <c r="D27" i="12"/>
  <c r="C27" i="12"/>
  <c r="C34" i="12" l="1"/>
  <c r="G34" i="12" s="1"/>
  <c r="C29" i="12"/>
  <c r="K27" i="12"/>
  <c r="H28" i="12"/>
  <c r="K28" i="12"/>
  <c r="D34" i="12"/>
  <c r="D29" i="12"/>
  <c r="E34" i="12"/>
  <c r="I34" i="12" s="1"/>
  <c r="E29" i="12"/>
  <c r="O47" i="7"/>
  <c r="O45" i="7" s="1"/>
  <c r="N9" i="7"/>
  <c r="O9" i="7"/>
  <c r="O70" i="7" l="1"/>
  <c r="O73" i="7" s="1"/>
  <c r="D35" i="12"/>
  <c r="K34" i="12"/>
  <c r="H34" i="12"/>
  <c r="N47" i="7"/>
  <c r="N45" i="7" s="1"/>
  <c r="D35" i="7"/>
  <c r="D27" i="7"/>
  <c r="N81" i="7" l="1"/>
  <c r="N83" i="7" s="1"/>
  <c r="P69" i="7" l="1"/>
  <c r="P72" i="7" s="1"/>
  <c r="B32" i="11" s="1"/>
  <c r="P33" i="7" l="1"/>
  <c r="P62" i="7" s="1"/>
  <c r="P13" i="7"/>
  <c r="P70" i="7"/>
  <c r="E6" i="7"/>
  <c r="F8" i="7"/>
  <c r="F18" i="7" l="1"/>
  <c r="I20" i="7" s="1"/>
  <c r="P81" i="7"/>
  <c r="P73" i="7"/>
  <c r="B34" i="11" s="1"/>
  <c r="B40" i="11"/>
  <c r="B39" i="11"/>
  <c r="F63" i="7"/>
  <c r="F65" i="7" s="1"/>
  <c r="B28" i="11" s="1"/>
  <c r="P85" i="7"/>
  <c r="B50" i="11" s="1"/>
  <c r="P14" i="7"/>
  <c r="P77" i="7"/>
  <c r="B48" i="11" s="1"/>
  <c r="P78" i="7"/>
  <c r="P63" i="7"/>
  <c r="P84" i="7"/>
  <c r="F26" i="7" l="1"/>
  <c r="F33" i="7" s="1"/>
  <c r="B10" i="11" s="1"/>
  <c r="F21" i="7"/>
  <c r="B9" i="11" s="1"/>
  <c r="G19" i="7"/>
  <c r="P76" i="7"/>
  <c r="B46" i="11"/>
  <c r="P83" i="7"/>
  <c r="B47" i="11" s="1"/>
  <c r="P74" i="7"/>
  <c r="B35" i="11" s="1"/>
  <c r="B42" i="11"/>
  <c r="B7" i="11"/>
  <c r="P86" i="7"/>
  <c r="B49" i="11" s="1"/>
  <c r="F20" i="7"/>
  <c r="B8" i="11" s="1"/>
  <c r="E52" i="7"/>
  <c r="D52" i="7"/>
  <c r="F28" i="7" l="1"/>
  <c r="F34" i="7"/>
  <c r="B12" i="11" s="1"/>
  <c r="F36" i="7"/>
  <c r="G37" i="7" s="1"/>
  <c r="P75" i="7" l="1"/>
  <c r="B41" i="11" s="1"/>
  <c r="J65" i="9" l="1"/>
  <c r="K65" i="9"/>
  <c r="L21" i="9" l="1"/>
  <c r="L32" i="9"/>
  <c r="L31" i="9"/>
  <c r="B52" i="7" l="1"/>
  <c r="M64" i="9" l="1"/>
  <c r="M65" i="9"/>
  <c r="M9" i="7"/>
  <c r="B8" i="7"/>
  <c r="B18" i="7" s="1"/>
  <c r="M78" i="7" l="1"/>
  <c r="M63" i="7"/>
  <c r="M70" i="7"/>
  <c r="M73" i="7" s="1"/>
  <c r="M75" i="7"/>
  <c r="B21" i="7"/>
  <c r="M74" i="7"/>
  <c r="B26" i="7"/>
  <c r="M77" i="7"/>
  <c r="F6" i="9"/>
  <c r="M66" i="9"/>
  <c r="L66" i="9"/>
  <c r="K66" i="9"/>
  <c r="J66" i="9"/>
  <c r="I66" i="9"/>
  <c r="I65" i="9"/>
  <c r="K64" i="9"/>
  <c r="J64" i="9"/>
  <c r="I64" i="9"/>
  <c r="M63" i="9"/>
  <c r="L63" i="9"/>
  <c r="K63" i="9"/>
  <c r="J63" i="9"/>
  <c r="I63" i="9"/>
  <c r="F60" i="9"/>
  <c r="E60" i="9"/>
  <c r="D60" i="9"/>
  <c r="C60" i="9"/>
  <c r="B60" i="9"/>
  <c r="F58" i="9"/>
  <c r="E58" i="9"/>
  <c r="D58" i="9"/>
  <c r="C58" i="9"/>
  <c r="B58" i="9"/>
  <c r="M53" i="9"/>
  <c r="M56" i="9" s="1"/>
  <c r="L53" i="9"/>
  <c r="L56" i="9" s="1"/>
  <c r="K53" i="9"/>
  <c r="K56" i="9" s="1"/>
  <c r="J53" i="9"/>
  <c r="J56" i="9" s="1"/>
  <c r="I53" i="9"/>
  <c r="I56" i="9" s="1"/>
  <c r="B51" i="9"/>
  <c r="B49" i="9"/>
  <c r="F48" i="9"/>
  <c r="E48" i="9"/>
  <c r="D48" i="9"/>
  <c r="B48" i="9"/>
  <c r="E44" i="9"/>
  <c r="D44" i="9"/>
  <c r="C44" i="9"/>
  <c r="B43" i="9"/>
  <c r="B44" i="9" s="1"/>
  <c r="M36" i="9"/>
  <c r="L36" i="9"/>
  <c r="K36" i="9"/>
  <c r="J36" i="9"/>
  <c r="I36" i="9"/>
  <c r="F34" i="9"/>
  <c r="F33" i="9"/>
  <c r="E33" i="9"/>
  <c r="D33" i="9"/>
  <c r="M26" i="9"/>
  <c r="L26" i="9"/>
  <c r="K26" i="9"/>
  <c r="K68" i="9" s="1"/>
  <c r="J26" i="9"/>
  <c r="J48" i="9" s="1"/>
  <c r="J12" i="9" s="1"/>
  <c r="I26" i="9"/>
  <c r="D22" i="9"/>
  <c r="C22" i="9"/>
  <c r="M10" i="9"/>
  <c r="L10" i="9"/>
  <c r="K10" i="9"/>
  <c r="J10" i="9"/>
  <c r="I10" i="9"/>
  <c r="I69" i="9" s="1"/>
  <c r="F7" i="9"/>
  <c r="F13" i="9" s="1"/>
  <c r="E7" i="9"/>
  <c r="E13" i="9" s="1"/>
  <c r="E16" i="9" s="1"/>
  <c r="D7" i="9"/>
  <c r="D13" i="9" s="1"/>
  <c r="C7" i="9"/>
  <c r="C13" i="9" s="1"/>
  <c r="B7" i="9"/>
  <c r="B13" i="9" s="1"/>
  <c r="K6" i="9"/>
  <c r="K54" i="9" s="1"/>
  <c r="K57" i="9" s="1"/>
  <c r="J6" i="9"/>
  <c r="J54" i="9" s="1"/>
  <c r="J57" i="9" s="1"/>
  <c r="I5" i="9"/>
  <c r="I6" i="9" s="1"/>
  <c r="I11" i="9" s="1"/>
  <c r="E5" i="9"/>
  <c r="D5" i="9"/>
  <c r="M4" i="9"/>
  <c r="M6" i="9" s="1"/>
  <c r="L4" i="9"/>
  <c r="L6" i="9" s="1"/>
  <c r="L54" i="9" s="1"/>
  <c r="L57" i="9" s="1"/>
  <c r="I42" i="9" l="1"/>
  <c r="M42" i="9"/>
  <c r="B28" i="7"/>
  <c r="L42" i="9"/>
  <c r="J67" i="9"/>
  <c r="J62" i="9"/>
  <c r="J11" i="9"/>
  <c r="J60" i="9" s="1"/>
  <c r="I49" i="9"/>
  <c r="L67" i="9"/>
  <c r="K62" i="9"/>
  <c r="K11" i="9"/>
  <c r="K60" i="9" s="1"/>
  <c r="M67" i="9"/>
  <c r="J49" i="9"/>
  <c r="L49" i="9"/>
  <c r="I67" i="9"/>
  <c r="K49" i="9"/>
  <c r="K67" i="9"/>
  <c r="M54" i="9"/>
  <c r="M57" i="9" s="1"/>
  <c r="M11" i="9"/>
  <c r="M60" i="9" s="1"/>
  <c r="D21" i="9"/>
  <c r="D14" i="9"/>
  <c r="D16" i="9"/>
  <c r="M49" i="9"/>
  <c r="I60" i="9"/>
  <c r="B21" i="9"/>
  <c r="B16" i="9"/>
  <c r="E21" i="9"/>
  <c r="E14" i="9"/>
  <c r="I68" i="9"/>
  <c r="C16" i="9"/>
  <c r="C21" i="9"/>
  <c r="F14" i="9"/>
  <c r="F16" i="9"/>
  <c r="F21" i="9"/>
  <c r="F15" i="9"/>
  <c r="L11" i="9"/>
  <c r="L60" i="9" s="1"/>
  <c r="J42" i="9"/>
  <c r="J68" i="9" s="1"/>
  <c r="I48" i="9"/>
  <c r="I12" i="9" s="1"/>
  <c r="L48" i="9"/>
  <c r="L12" i="9" s="1"/>
  <c r="B59" i="9"/>
  <c r="B61" i="9" s="1"/>
  <c r="I58" i="9" s="1"/>
  <c r="E59" i="9"/>
  <c r="E61" i="9" s="1"/>
  <c r="L58" i="9" s="1"/>
  <c r="J61" i="9"/>
  <c r="I62" i="9"/>
  <c r="L62" i="9"/>
  <c r="L68" i="9"/>
  <c r="J69" i="9"/>
  <c r="K42" i="9"/>
  <c r="M48" i="9"/>
  <c r="M12" i="9" s="1"/>
  <c r="F59" i="9"/>
  <c r="F61" i="9" s="1"/>
  <c r="M58" i="9" s="1"/>
  <c r="K61" i="9"/>
  <c r="M62" i="9"/>
  <c r="M68" i="9"/>
  <c r="C59" i="9"/>
  <c r="C61" i="9" s="1"/>
  <c r="J58" i="9" s="1"/>
  <c r="I61" i="9"/>
  <c r="L61" i="9"/>
  <c r="K48" i="9"/>
  <c r="K12" i="9" s="1"/>
  <c r="D59" i="9"/>
  <c r="D61" i="9" s="1"/>
  <c r="K58" i="9" s="1"/>
  <c r="M61" i="9"/>
  <c r="F47" i="9" l="1"/>
  <c r="F23" i="9"/>
  <c r="F24" i="9"/>
  <c r="D24" i="9"/>
  <c r="D47" i="9"/>
  <c r="D52" i="9" s="1"/>
  <c r="D54" i="9" s="1"/>
  <c r="D23" i="9"/>
  <c r="C24" i="9"/>
  <c r="C23" i="9"/>
  <c r="E47" i="9"/>
  <c r="E23" i="9"/>
  <c r="E24" i="9"/>
  <c r="B47" i="9"/>
  <c r="B52" i="9" s="1"/>
  <c r="B54" i="9" s="1"/>
  <c r="B24" i="9"/>
  <c r="B29" i="9" s="1"/>
  <c r="I59" i="9" s="1"/>
  <c r="D29" i="9" l="1"/>
  <c r="D25" i="9"/>
  <c r="E29" i="9"/>
  <c r="E25" i="9"/>
  <c r="C29" i="9"/>
  <c r="C25" i="9"/>
  <c r="F29" i="9"/>
  <c r="F25" i="9"/>
  <c r="M59" i="9" l="1"/>
  <c r="F31" i="9"/>
  <c r="F30" i="9"/>
  <c r="L59" i="9"/>
  <c r="E30" i="9"/>
  <c r="J59" i="9"/>
  <c r="K59" i="9"/>
  <c r="D30" i="9"/>
  <c r="E8" i="7" l="1"/>
  <c r="O81" i="7" s="1"/>
  <c r="O83" i="7" s="1"/>
  <c r="E64" i="7" l="1"/>
  <c r="D64" i="7"/>
  <c r="E62" i="7"/>
  <c r="N69" i="7"/>
  <c r="N72" i="7" s="1"/>
  <c r="O33" i="7"/>
  <c r="N33" i="7"/>
  <c r="O13" i="7"/>
  <c r="N13" i="7"/>
  <c r="N85" i="7" s="1"/>
  <c r="E18" i="7"/>
  <c r="D8" i="7"/>
  <c r="H20" i="7" l="1"/>
  <c r="O86" i="7"/>
  <c r="F19" i="7"/>
  <c r="O85" i="7"/>
  <c r="O78" i="7"/>
  <c r="O77" i="7"/>
  <c r="O62" i="7"/>
  <c r="O14" i="7" s="1"/>
  <c r="O76" i="7" s="1"/>
  <c r="O84" i="7"/>
  <c r="E20" i="7"/>
  <c r="O63" i="7"/>
  <c r="N63" i="7"/>
  <c r="E21" i="7"/>
  <c r="N84" i="7"/>
  <c r="N62" i="7"/>
  <c r="N14" i="7" s="1"/>
  <c r="D18" i="7"/>
  <c r="N77" i="7"/>
  <c r="N78" i="7"/>
  <c r="E26" i="7"/>
  <c r="E33" i="7" s="1"/>
  <c r="N70" i="7"/>
  <c r="N73" i="7" s="1"/>
  <c r="D63" i="7"/>
  <c r="D65" i="7" s="1"/>
  <c r="E63" i="7"/>
  <c r="E65" i="7" s="1"/>
  <c r="O74" i="7" s="1"/>
  <c r="N76" i="7" l="1"/>
  <c r="N86" i="7"/>
  <c r="G20" i="7"/>
  <c r="D21" i="7"/>
  <c r="D19" i="7"/>
  <c r="E19" i="7"/>
  <c r="E36" i="7"/>
  <c r="F37" i="7" s="1"/>
  <c r="E34" i="7"/>
  <c r="E28" i="7"/>
  <c r="N74" i="7"/>
  <c r="D26" i="7"/>
  <c r="D58" i="7" l="1"/>
  <c r="D33" i="7"/>
  <c r="O75" i="7"/>
  <c r="E58" i="7"/>
  <c r="D28" i="7"/>
  <c r="D36" i="7" l="1"/>
  <c r="E37" i="7" s="1"/>
  <c r="D34" i="7"/>
  <c r="E7" i="11"/>
  <c r="N75" i="7" l="1"/>
</calcChain>
</file>

<file path=xl/sharedStrings.xml><?xml version="1.0" encoding="utf-8"?>
<sst xmlns="http://schemas.openxmlformats.org/spreadsheetml/2006/main" count="462" uniqueCount="207">
  <si>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</si>
  <si>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</si>
  <si>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</si>
  <si>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</si>
  <si>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</si>
  <si>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</si>
  <si>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</si>
  <si>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</si>
  <si>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</si>
  <si>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</si>
  <si>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</si>
  <si>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</si>
  <si>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</si>
  <si>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</si>
  <si>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</si>
  <si>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</si>
  <si>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</si>
  <si>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</si>
  <si>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</si>
  <si>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</si>
  <si>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</si>
  <si>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</si>
  <si>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</si>
  <si>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</si>
  <si>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</si>
  <si>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</si>
  <si>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</si>
  <si>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</si>
  <si>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</si>
  <si>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</si>
  <si>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</si>
  <si>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</si>
  <si>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</si>
  <si>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</si>
  <si>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</si>
  <si>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</si>
  <si>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</si>
  <si>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</si>
  <si>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</si>
  <si>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</si>
  <si>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</si>
  <si>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</si>
  <si>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</si>
  <si>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</si>
  <si>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</si>
  <si>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</si>
  <si>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</si>
  <si>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</si>
  <si>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</si>
  <si>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</si>
  <si>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</si>
  <si>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</si>
  <si>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</si>
  <si>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</si>
  <si>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</si>
  <si>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</si>
  <si>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</si>
  <si>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</si>
  <si>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</si>
  <si>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</si>
  <si>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</si>
  <si>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</si>
  <si>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</si>
  <si>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</si>
  <si>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</si>
  <si>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</si>
  <si>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</si>
  <si>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</si>
  <si>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</si>
  <si>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</si>
  <si>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</si>
  <si>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</si>
  <si>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</si>
  <si>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</si>
  <si>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</si>
  <si>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</si>
  <si>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Balance Sheet</t>
  </si>
  <si>
    <t>Income Statement</t>
  </si>
  <si>
    <t>FY19</t>
  </si>
  <si>
    <t>Revenue from Operations</t>
  </si>
  <si>
    <t>Equity Share Capital</t>
  </si>
  <si>
    <t>Other Equity</t>
  </si>
  <si>
    <t>CAGR (%) - 3 Years</t>
  </si>
  <si>
    <t>Cost of materials cosnumed</t>
  </si>
  <si>
    <t>Property, Palnt and Equipment</t>
  </si>
  <si>
    <t>Capital WIP</t>
  </si>
  <si>
    <t>Financial Assets</t>
  </si>
  <si>
    <t>Depreciation and amortisation cost</t>
  </si>
  <si>
    <t>Finance Cost</t>
  </si>
  <si>
    <t>b) Other financial assets</t>
  </si>
  <si>
    <t>Excp Item</t>
  </si>
  <si>
    <t>Other Non-Current assets</t>
  </si>
  <si>
    <t>c) Cash &amp; Cash Equivalents</t>
  </si>
  <si>
    <t>Share of Profit of associates</t>
  </si>
  <si>
    <t>PAT After MI (Total Comprehensive Income)</t>
  </si>
  <si>
    <t>CAGR (%)</t>
  </si>
  <si>
    <t>Current Financial Liabilities</t>
  </si>
  <si>
    <t>a) Trade Payables</t>
  </si>
  <si>
    <t>b) Other Financial liabilities</t>
  </si>
  <si>
    <t>Current Tax Liability (Net)</t>
  </si>
  <si>
    <t>Long Term Provisions</t>
  </si>
  <si>
    <t>Deferred Tax Liability (Net)</t>
  </si>
  <si>
    <t>Other Financial Liabilities</t>
  </si>
  <si>
    <t>Intangible Assets</t>
  </si>
  <si>
    <t>Goodwill</t>
  </si>
  <si>
    <t>Deferred Tax Assets</t>
  </si>
  <si>
    <t>b) Loans to subsidaries</t>
  </si>
  <si>
    <t>Non-Current Tax Assets (Net)</t>
  </si>
  <si>
    <t>Non-Current Assets Classified as Sale</t>
  </si>
  <si>
    <t>Provision</t>
  </si>
  <si>
    <t>East West Ltd. (Standalone)</t>
  </si>
  <si>
    <t>Purchase of Stock in Trade</t>
  </si>
  <si>
    <t>a) Investments</t>
  </si>
  <si>
    <t>b) Trade and other Recievable</t>
  </si>
  <si>
    <t>e) Other Current Financial Assets</t>
  </si>
  <si>
    <t>d) Loans</t>
  </si>
  <si>
    <t>b)Other Current liabilities</t>
  </si>
  <si>
    <t>c)Current Tax Liability (Net)</t>
  </si>
  <si>
    <t>a) Investment</t>
  </si>
  <si>
    <t>Current Tax Assets</t>
  </si>
  <si>
    <t>Changes in inventories of FG, WIP and Stock</t>
  </si>
  <si>
    <t>Investment Property</t>
  </si>
  <si>
    <t>NA</t>
  </si>
  <si>
    <t>d) Bank Balances</t>
  </si>
  <si>
    <t>e) Loans</t>
  </si>
  <si>
    <t>f) Others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</si>
  <si>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</si>
  <si>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</si>
  <si>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</si>
  <si>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</si>
  <si>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</si>
  <si>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</si>
  <si>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</si>
  <si>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</si>
  <si>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</si>
  <si>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</si>
  <si>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</si>
  <si>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</si>
  <si>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</si>
  <si>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</si>
  <si>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</si>
  <si>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</si>
  <si>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</si>
  <si>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</si>
  <si>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</si>
  <si>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Asset Turnover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</si>
  <si>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</si>
  <si>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</si>
  <si>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</si>
  <si>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</si>
  <si>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</si>
  <si>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</si>
  <si>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H1-FY20</t>
  </si>
  <si>
    <t xml:space="preserve">Changes in inventories </t>
  </si>
  <si>
    <t>Excise duty on sale of goods</t>
  </si>
  <si>
    <t>Share of profit / (loss) of a joint venture</t>
  </si>
  <si>
    <t>Other intangible assets</t>
  </si>
  <si>
    <t>Intangible assets under development</t>
  </si>
  <si>
    <t>b) Loans</t>
  </si>
  <si>
    <t>d) Other financial assets</t>
  </si>
  <si>
    <t>c)  Share application money</t>
  </si>
  <si>
    <t>9M-FY20</t>
  </si>
  <si>
    <t>Commission on sale</t>
  </si>
  <si>
    <t>Allowance for doubtful</t>
  </si>
  <si>
    <t>Provision for doubtful debt</t>
  </si>
  <si>
    <t>.</t>
  </si>
  <si>
    <t>Deferred Tax Asset (Net)</t>
  </si>
  <si>
    <t>Right of use Asset</t>
  </si>
  <si>
    <t xml:space="preserve">Share Pending Issuance </t>
  </si>
  <si>
    <t>Lease Liabilities</t>
  </si>
  <si>
    <t>Fermenta Biotech Ltd. (Consolidated)</t>
  </si>
  <si>
    <t xml:space="preserve">Vertical </t>
  </si>
  <si>
    <t>Horizontal</t>
  </si>
  <si>
    <t>FY18-FY19</t>
  </si>
  <si>
    <t>Property, Plant and Equipment</t>
  </si>
  <si>
    <t>Fixed asset turnover</t>
  </si>
  <si>
    <t>Gross Block</t>
  </si>
  <si>
    <t>Investments in associates &amp; JV</t>
  </si>
  <si>
    <t>Other Non Current Liabilities</t>
  </si>
  <si>
    <t>FY20</t>
  </si>
  <si>
    <t>Interest Coverage</t>
  </si>
  <si>
    <t>P&amp;L Comparision (As on FY20)</t>
  </si>
  <si>
    <t>Peer Comparison Analysis - Fermenta Biotech Limited</t>
  </si>
  <si>
    <t xml:space="preserve">Fermenta Biotech </t>
  </si>
  <si>
    <t xml:space="preserve">Dishman </t>
  </si>
  <si>
    <t xml:space="preserve">Advanced Enzymes </t>
  </si>
  <si>
    <t>Cadila</t>
  </si>
  <si>
    <t>Camlin</t>
  </si>
  <si>
    <t>Operational Sales</t>
  </si>
  <si>
    <t>FY17 financials</t>
  </si>
  <si>
    <t>Allowance for doubtful Receivables</t>
  </si>
  <si>
    <t>PAT Margins</t>
  </si>
  <si>
    <t>H1-FY21</t>
  </si>
  <si>
    <t>-</t>
  </si>
  <si>
    <t>Non-controlling interests</t>
  </si>
  <si>
    <t>*Adjusted EPS post bonus issue in the proportion of 2:1</t>
  </si>
  <si>
    <t>FY21</t>
  </si>
  <si>
    <t xml:space="preserve"> CMP(Rs)</t>
  </si>
  <si>
    <t xml:space="preserve"> EPS (Rs)</t>
  </si>
  <si>
    <t>FY22</t>
  </si>
  <si>
    <t xml:space="preserve"> FY22</t>
  </si>
  <si>
    <t>Non-Current Asets</t>
  </si>
  <si>
    <t>FY23</t>
  </si>
  <si>
    <t>Contract Asset</t>
  </si>
  <si>
    <t>Contract Liability</t>
  </si>
  <si>
    <t xml:space="preserve">NET CURRENT LIABILITY </t>
  </si>
  <si>
    <t xml:space="preserve">TTM P/E (x)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</si>
</sst>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-* #,##0_-;\-* #,##0_-;_-* &quot;-&quot;??_-;_-@_-"/>
    <numFmt numFmtId="170" formatCode="_ * #,##0.000_ ;_ * \-#,##0.000_ ;_ * &quot;-&quot;??_ ;_ @_ "/>
    <numFmt numFmtId="171" formatCode="0.000"/>
    <numFmt numFmtId="172" formatCode="#,##0.00&quot;*&quot;;[Red]\(&quot;₹&quot;#,##0.00\)"/>
  </numFmts>
  <fonts count="2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rgb="FF000000"/>
      <name val="MyFirstFont"/>
    </font>
    <font>
      <sz val="10"/>
      <name val="MyFirstFont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MyFirstFon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</cellStyleXfs>
  <cellXfs count="348">
    <xf numFmtId="0" fontId="0" fillId="0" borderId="0" xfId="0"/>
    <xf numFmtId="165" fontId="5" fillId="0" borderId="1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horizontal="right"/>
    </xf>
    <xf numFmtId="0" fontId="5" fillId="0" borderId="1" xfId="0" applyFont="1" applyBorder="1"/>
    <xf numFmtId="10" fontId="5" fillId="4" borderId="1" xfId="1" applyNumberFormat="1" applyFont="1" applyFill="1" applyBorder="1"/>
    <xf numFmtId="43" fontId="5" fillId="0" borderId="1" xfId="2" applyFont="1" applyFill="1" applyBorder="1"/>
    <xf numFmtId="168" fontId="6" fillId="0" borderId="1" xfId="2" applyNumberFormat="1" applyFont="1" applyFill="1" applyBorder="1"/>
    <xf numFmtId="168" fontId="6" fillId="4" borderId="1" xfId="2" applyNumberFormat="1" applyFont="1" applyFill="1" applyBorder="1"/>
    <xf numFmtId="168" fontId="5" fillId="0" borderId="1" xfId="2" applyNumberFormat="1" applyFont="1" applyBorder="1"/>
    <xf numFmtId="10" fontId="7" fillId="4" borderId="1" xfId="0" applyNumberFormat="1" applyFont="1" applyFill="1" applyBorder="1"/>
    <xf numFmtId="43" fontId="6" fillId="0" borderId="1" xfId="2" applyFont="1" applyFill="1" applyBorder="1"/>
    <xf numFmtId="168" fontId="5" fillId="4" borderId="1" xfId="2" applyNumberFormat="1" applyFont="1" applyFill="1" applyBorder="1"/>
    <xf numFmtId="167" fontId="5" fillId="0" borderId="1" xfId="2" applyNumberFormat="1" applyFont="1" applyFill="1" applyBorder="1"/>
    <xf numFmtId="1" fontId="5" fillId="4" borderId="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168" fontId="6" fillId="0" borderId="1" xfId="2" applyNumberFormat="1" applyFont="1" applyBorder="1"/>
    <xf numFmtId="10" fontId="5" fillId="0" borderId="0" xfId="1" applyNumberFormat="1" applyFont="1"/>
    <xf numFmtId="168" fontId="5" fillId="0" borderId="1" xfId="2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168" fontId="5" fillId="0" borderId="0" xfId="2" applyNumberFormat="1" applyFont="1"/>
    <xf numFmtId="10" fontId="6" fillId="4" borderId="1" xfId="0" applyNumberFormat="1" applyFont="1" applyFill="1" applyBorder="1"/>
    <xf numFmtId="43" fontId="5" fillId="0" borderId="0" xfId="0" applyNumberFormat="1" applyFont="1"/>
    <xf numFmtId="10" fontId="6" fillId="4" borderId="1" xfId="1" applyNumberFormat="1" applyFont="1" applyFill="1" applyBorder="1"/>
    <xf numFmtId="165" fontId="6" fillId="4" borderId="1" xfId="0" applyNumberFormat="1" applyFont="1" applyFill="1" applyBorder="1"/>
    <xf numFmtId="0" fontId="5" fillId="4" borderId="1" xfId="0" applyFont="1" applyFill="1" applyBorder="1"/>
    <xf numFmtId="10" fontId="5" fillId="4" borderId="1" xfId="0" applyNumberFormat="1" applyFont="1" applyFill="1" applyBorder="1"/>
    <xf numFmtId="166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6" fillId="3" borderId="1" xfId="0" applyFont="1" applyFill="1" applyBorder="1"/>
    <xf numFmtId="168" fontId="3" fillId="4" borderId="1" xfId="2" applyNumberFormat="1" applyFont="1" applyFill="1" applyBorder="1"/>
    <xf numFmtId="165" fontId="6" fillId="0" borderId="1" xfId="0" applyNumberFormat="1" applyFont="1" applyBorder="1"/>
    <xf numFmtId="43" fontId="6" fillId="0" borderId="1" xfId="2" applyFont="1" applyBorder="1"/>
    <xf numFmtId="43" fontId="6" fillId="4" borderId="1" xfId="2" applyFont="1" applyFill="1" applyBorder="1"/>
    <xf numFmtId="165" fontId="5" fillId="4" borderId="1" xfId="0" applyNumberFormat="1" applyFont="1" applyFill="1" applyBorder="1"/>
    <xf numFmtId="43" fontId="5" fillId="4" borderId="1" xfId="2" applyFont="1" applyFill="1" applyBorder="1"/>
    <xf numFmtId="168" fontId="2" fillId="4" borderId="1" xfId="2" applyNumberFormat="1" applyFont="1" applyFill="1" applyBorder="1"/>
    <xf numFmtId="166" fontId="5" fillId="0" borderId="1" xfId="0" applyNumberFormat="1" applyFont="1" applyBorder="1"/>
    <xf numFmtId="2" fontId="5" fillId="4" borderId="1" xfId="0" applyNumberFormat="1" applyFont="1" applyFill="1" applyBorder="1"/>
    <xf numFmtId="168" fontId="2" fillId="0" borderId="1" xfId="2" applyNumberFormat="1" applyFont="1" applyBorder="1"/>
    <xf numFmtId="168" fontId="3" fillId="0" borderId="1" xfId="2" applyNumberFormat="1" applyFont="1" applyBorder="1"/>
    <xf numFmtId="10" fontId="3" fillId="4" borderId="1" xfId="0" applyNumberFormat="1" applyFont="1" applyFill="1" applyBorder="1"/>
    <xf numFmtId="168" fontId="2" fillId="0" borderId="1" xfId="2" applyNumberFormat="1" applyFont="1" applyFill="1" applyBorder="1"/>
    <xf numFmtId="0" fontId="3" fillId="0" borderId="0" xfId="0" applyFont="1"/>
    <xf numFmtId="43" fontId="2" fillId="4" borderId="1" xfId="2" applyFont="1" applyFill="1" applyBorder="1"/>
    <xf numFmtId="43" fontId="3" fillId="4" borderId="1" xfId="2" applyFont="1" applyFill="1" applyBorder="1"/>
    <xf numFmtId="43" fontId="3" fillId="0" borderId="1" xfId="2" applyFont="1" applyFill="1" applyBorder="1"/>
    <xf numFmtId="2" fontId="3" fillId="4" borderId="1" xfId="0" applyNumberFormat="1" applyFont="1" applyFill="1" applyBorder="1"/>
    <xf numFmtId="10" fontId="3" fillId="4" borderId="1" xfId="1" applyNumberFormat="1" applyFont="1" applyFill="1" applyBorder="1"/>
    <xf numFmtId="1" fontId="3" fillId="4" borderId="1" xfId="0" applyNumberFormat="1" applyFont="1" applyFill="1" applyBorder="1"/>
    <xf numFmtId="2" fontId="2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3" fontId="11" fillId="0" borderId="0" xfId="0" applyNumberFormat="1" applyFont="1"/>
    <xf numFmtId="3" fontId="12" fillId="0" borderId="1" xfId="0" applyNumberFormat="1" applyFont="1" applyBorder="1"/>
    <xf numFmtId="166" fontId="3" fillId="4" borderId="1" xfId="0" applyNumberFormat="1" applyFont="1" applyFill="1" applyBorder="1"/>
    <xf numFmtId="168" fontId="13" fillId="0" borderId="1" xfId="2" applyNumberFormat="1" applyFont="1" applyFill="1" applyBorder="1"/>
    <xf numFmtId="10" fontId="14" fillId="4" borderId="1" xfId="0" applyNumberFormat="1" applyFont="1" applyFill="1" applyBorder="1"/>
    <xf numFmtId="168" fontId="13" fillId="4" borderId="1" xfId="2" applyNumberFormat="1" applyFont="1" applyFill="1" applyBorder="1"/>
    <xf numFmtId="168" fontId="1" fillId="0" borderId="1" xfId="2" applyNumberFormat="1" applyFont="1" applyFill="1" applyBorder="1"/>
    <xf numFmtId="10" fontId="13" fillId="4" borderId="1" xfId="0" applyNumberFormat="1" applyFont="1" applyFill="1" applyBorder="1"/>
    <xf numFmtId="10" fontId="13" fillId="4" borderId="1" xfId="1" applyNumberFormat="1" applyFont="1" applyFill="1" applyBorder="1"/>
    <xf numFmtId="165" fontId="1" fillId="0" borderId="1" xfId="0" applyNumberFormat="1" applyFont="1" applyBorder="1"/>
    <xf numFmtId="165" fontId="13" fillId="4" borderId="1" xfId="0" applyNumberFormat="1" applyFont="1" applyFill="1" applyBorder="1"/>
    <xf numFmtId="43" fontId="13" fillId="0" borderId="1" xfId="2" applyFont="1" applyFill="1" applyBorder="1"/>
    <xf numFmtId="10" fontId="1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43" fontId="2" fillId="0" borderId="1" xfId="2" applyFont="1" applyFill="1" applyBorder="1"/>
    <xf numFmtId="168" fontId="1" fillId="0" borderId="1" xfId="2" applyNumberFormat="1" applyFont="1" applyBorder="1"/>
    <xf numFmtId="0" fontId="6" fillId="4" borderId="1" xfId="0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168" fontId="5" fillId="0" borderId="0" xfId="2" applyNumberFormat="1" applyFont="1" applyFill="1"/>
    <xf numFmtId="168" fontId="5" fillId="0" borderId="2" xfId="2" applyNumberFormat="1" applyFont="1" applyFill="1" applyBorder="1"/>
    <xf numFmtId="168" fontId="5" fillId="0" borderId="3" xfId="2" applyNumberFormat="1" applyFont="1" applyFill="1" applyBorder="1"/>
    <xf numFmtId="165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168" fontId="13" fillId="0" borderId="1" xfId="2" applyNumberFormat="1" applyFont="1" applyBorder="1"/>
    <xf numFmtId="168" fontId="13" fillId="4" borderId="3" xfId="2" applyNumberFormat="1" applyFont="1" applyFill="1" applyBorder="1"/>
    <xf numFmtId="43" fontId="13" fillId="4" borderId="1" xfId="2" applyFont="1" applyFill="1" applyBorder="1"/>
    <xf numFmtId="43" fontId="1" fillId="4" borderId="1" xfId="2" applyFont="1" applyFill="1" applyBorder="1"/>
    <xf numFmtId="2" fontId="1" fillId="4" borderId="1" xfId="0" applyNumberFormat="1" applyFont="1" applyFill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3" fontId="15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/>
    <xf numFmtId="2" fontId="4" fillId="0" borderId="1" xfId="1" applyNumberFormat="1" applyFont="1" applyFill="1" applyBorder="1"/>
    <xf numFmtId="1" fontId="4" fillId="0" borderId="1" xfId="4" applyNumberFormat="1" applyFont="1" applyFill="1" applyBorder="1"/>
    <xf numFmtId="1" fontId="0" fillId="0" borderId="1" xfId="4" applyNumberFormat="1" applyFont="1" applyFill="1" applyBorder="1"/>
    <xf numFmtId="2" fontId="4" fillId="0" borderId="1" xfId="4" applyNumberFormat="1" applyFont="1" applyFill="1" applyBorder="1"/>
    <xf numFmtId="10" fontId="0" fillId="0" borderId="1" xfId="1" applyNumberFormat="1" applyFont="1" applyFill="1" applyBorder="1"/>
    <xf numFmtId="1" fontId="0" fillId="0" borderId="1" xfId="4" applyNumberFormat="1" applyFont="1" applyFill="1" applyBorder="1" applyAlignment="1">
      <alignment horizontal="right"/>
    </xf>
    <xf numFmtId="1" fontId="4" fillId="0" borderId="1" xfId="4" applyNumberFormat="1" applyFont="1" applyFill="1" applyBorder="1" applyAlignment="1">
      <alignment horizontal="right"/>
    </xf>
    <xf numFmtId="167" fontId="18" fillId="0" borderId="1" xfId="4" applyNumberFormat="1" applyFont="1" applyFill="1" applyBorder="1"/>
    <xf numFmtId="10" fontId="18" fillId="0" borderId="1" xfId="1" applyNumberFormat="1" applyFont="1" applyFill="1" applyBorder="1" applyAlignment="1">
      <alignment horizontal="right"/>
    </xf>
    <xf numFmtId="10" fontId="18" fillId="0" borderId="1" xfId="1" applyNumberFormat="1" applyFont="1" applyFill="1" applyBorder="1"/>
    <xf numFmtId="2" fontId="18" fillId="0" borderId="1" xfId="0" applyNumberFormat="1" applyFont="1" applyBorder="1"/>
    <xf numFmtId="169" fontId="18" fillId="0" borderId="1" xfId="2" applyNumberFormat="1" applyFont="1" applyFill="1" applyBorder="1"/>
    <xf numFmtId="0" fontId="18" fillId="0" borderId="1" xfId="0" applyFont="1" applyBorder="1" applyAlignment="1">
      <alignment horizontal="right"/>
    </xf>
    <xf numFmtId="165" fontId="18" fillId="0" borderId="1" xfId="0" applyNumberFormat="1" applyFont="1" applyBorder="1"/>
    <xf numFmtId="10" fontId="18" fillId="0" borderId="1" xfId="0" applyNumberFormat="1" applyFont="1" applyBorder="1"/>
    <xf numFmtId="10" fontId="0" fillId="0" borderId="1" xfId="1" applyNumberFormat="1" applyFont="1" applyBorder="1"/>
    <xf numFmtId="10" fontId="0" fillId="0" borderId="1" xfId="0" applyNumberFormat="1" applyBorder="1"/>
    <xf numFmtId="0" fontId="13" fillId="0" borderId="2" xfId="0" applyFont="1" applyBorder="1" applyAlignment="1">
      <alignment horizontal="center"/>
    </xf>
    <xf numFmtId="0" fontId="17" fillId="0" borderId="1" xfId="0" applyFont="1" applyBorder="1"/>
    <xf numFmtId="0" fontId="18" fillId="0" borderId="0" xfId="0" applyFont="1"/>
    <xf numFmtId="165" fontId="24" fillId="0" borderId="1" xfId="0" applyNumberFormat="1" applyFont="1" applyBorder="1"/>
    <xf numFmtId="168" fontId="17" fillId="0" borderId="1" xfId="2" applyNumberFormat="1" applyFont="1" applyFill="1" applyBorder="1"/>
    <xf numFmtId="165" fontId="0" fillId="0" borderId="1" xfId="0" applyNumberFormat="1" applyBorder="1"/>
    <xf numFmtId="168" fontId="0" fillId="0" borderId="1" xfId="2" applyNumberFormat="1" applyFont="1" applyBorder="1"/>
    <xf numFmtId="0" fontId="16" fillId="0" borderId="0" xfId="0" applyFont="1"/>
    <xf numFmtId="168" fontId="0" fillId="0" borderId="1" xfId="2" applyNumberFormat="1" applyFont="1" applyFill="1" applyBorder="1"/>
    <xf numFmtId="168" fontId="18" fillId="0" borderId="1" xfId="2" applyNumberFormat="1" applyFont="1" applyFill="1" applyBorder="1"/>
    <xf numFmtId="168" fontId="18" fillId="0" borderId="1" xfId="2" applyNumberFormat="1" applyFont="1" applyBorder="1"/>
    <xf numFmtId="0" fontId="24" fillId="0" borderId="1" xfId="0" applyFont="1" applyBorder="1"/>
    <xf numFmtId="43" fontId="17" fillId="0" borderId="1" xfId="2" applyFont="1" applyFill="1" applyBorder="1"/>
    <xf numFmtId="168" fontId="17" fillId="0" borderId="1" xfId="2" applyNumberFormat="1" applyFont="1" applyBorder="1"/>
    <xf numFmtId="165" fontId="18" fillId="0" borderId="0" xfId="0" applyNumberFormat="1" applyFont="1"/>
    <xf numFmtId="165" fontId="17" fillId="0" borderId="1" xfId="0" applyNumberFormat="1" applyFont="1" applyBorder="1"/>
    <xf numFmtId="0" fontId="22" fillId="0" borderId="0" xfId="0" applyFont="1"/>
    <xf numFmtId="0" fontId="24" fillId="0" borderId="0" xfId="0" applyFont="1"/>
    <xf numFmtId="0" fontId="24" fillId="0" borderId="12" xfId="0" applyFont="1" applyBorder="1"/>
    <xf numFmtId="10" fontId="18" fillId="0" borderId="0" xfId="1" applyNumberFormat="1" applyFont="1" applyBorder="1"/>
    <xf numFmtId="0" fontId="18" fillId="0" borderId="12" xfId="0" applyFont="1" applyBorder="1"/>
    <xf numFmtId="43" fontId="18" fillId="0" borderId="0" xfId="0" applyNumberFormat="1" applyFont="1"/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67" fontId="18" fillId="0" borderId="1" xfId="4" applyNumberFormat="1" applyFont="1" applyFill="1" applyBorder="1" applyAlignment="1">
      <alignment horizontal="right"/>
    </xf>
    <xf numFmtId="9" fontId="0" fillId="0" borderId="0" xfId="1" applyFont="1"/>
    <xf numFmtId="168" fontId="24" fillId="0" borderId="1" xfId="2" applyNumberFormat="1" applyFont="1" applyFill="1" applyBorder="1"/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Continuous"/>
    </xf>
    <xf numFmtId="0" fontId="21" fillId="0" borderId="0" xfId="0" applyFont="1" applyAlignment="1">
      <alignment vertical="center"/>
    </xf>
    <xf numFmtId="0" fontId="0" fillId="0" borderId="12" xfId="0" applyBorder="1"/>
    <xf numFmtId="168" fontId="0" fillId="0" borderId="1" xfId="2" applyNumberFormat="1" applyFont="1" applyFill="1" applyBorder="1" applyAlignment="1"/>
    <xf numFmtId="165" fontId="18" fillId="6" borderId="12" xfId="0" applyNumberFormat="1" applyFont="1" applyFill="1" applyBorder="1"/>
    <xf numFmtId="0" fontId="28" fillId="0" borderId="0" xfId="0" applyFont="1"/>
    <xf numFmtId="168" fontId="0" fillId="0" borderId="1" xfId="2" applyNumberFormat="1" applyFont="1" applyFill="1" applyBorder="1" applyAlignment="1">
      <alignment horizontal="right"/>
    </xf>
    <xf numFmtId="164" fontId="18" fillId="0" borderId="0" xfId="0" applyNumberFormat="1" applyFont="1"/>
    <xf numFmtId="172" fontId="17" fillId="0" borderId="1" xfId="2" applyNumberFormat="1" applyFont="1" applyFill="1" applyBorder="1"/>
    <xf numFmtId="168" fontId="4" fillId="0" borderId="1" xfId="2" applyNumberFormat="1" applyFont="1" applyFill="1" applyBorder="1"/>
    <xf numFmtId="0" fontId="18" fillId="6" borderId="17" xfId="0" applyFont="1" applyFill="1" applyBorder="1"/>
    <xf numFmtId="0" fontId="18" fillId="6" borderId="14" xfId="0" applyFont="1" applyFill="1" applyBorder="1"/>
    <xf numFmtId="165" fontId="18" fillId="6" borderId="14" xfId="0" applyNumberFormat="1" applyFont="1" applyFill="1" applyBorder="1"/>
    <xf numFmtId="0" fontId="18" fillId="0" borderId="21" xfId="0" applyFont="1" applyBorder="1"/>
    <xf numFmtId="10" fontId="18" fillId="0" borderId="0" xfId="0" applyNumberFormat="1" applyFont="1"/>
    <xf numFmtId="43" fontId="0" fillId="6" borderId="14" xfId="2" applyFont="1" applyFill="1" applyBorder="1"/>
    <xf numFmtId="168" fontId="17" fillId="0" borderId="23" xfId="2" applyNumberFormat="1" applyFont="1" applyFill="1" applyBorder="1"/>
    <xf numFmtId="168" fontId="18" fillId="0" borderId="23" xfId="2" applyNumberFormat="1" applyFont="1" applyFill="1" applyBorder="1"/>
    <xf numFmtId="168" fontId="18" fillId="0" borderId="23" xfId="2" applyNumberFormat="1" applyFont="1" applyBorder="1"/>
    <xf numFmtId="43" fontId="18" fillId="0" borderId="23" xfId="2" applyFont="1" applyBorder="1"/>
    <xf numFmtId="168" fontId="24" fillId="0" borderId="23" xfId="2" applyNumberFormat="1" applyFont="1" applyFill="1" applyBorder="1"/>
    <xf numFmtId="43" fontId="18" fillId="0" borderId="1" xfId="2" applyFont="1" applyBorder="1"/>
    <xf numFmtId="0" fontId="25" fillId="0" borderId="12" xfId="0" applyFont="1" applyBorder="1"/>
    <xf numFmtId="10" fontId="26" fillId="0" borderId="1" xfId="0" applyNumberFormat="1" applyFont="1" applyBorder="1"/>
    <xf numFmtId="165" fontId="18" fillId="0" borderId="1" xfId="0" applyNumberFormat="1" applyFont="1" applyBorder="1" applyAlignment="1">
      <alignment horizontal="right"/>
    </xf>
    <xf numFmtId="10" fontId="17" fillId="0" borderId="1" xfId="0" applyNumberFormat="1" applyFont="1" applyBorder="1"/>
    <xf numFmtId="43" fontId="0" fillId="0" borderId="1" xfId="2" applyFont="1" applyFill="1" applyBorder="1"/>
    <xf numFmtId="10" fontId="24" fillId="0" borderId="1" xfId="1" applyNumberFormat="1" applyFont="1" applyFill="1" applyBorder="1" applyAlignment="1">
      <alignment horizontal="right"/>
    </xf>
    <xf numFmtId="10" fontId="24" fillId="0" borderId="1" xfId="1" applyNumberFormat="1" applyFont="1" applyFill="1" applyBorder="1"/>
    <xf numFmtId="10" fontId="24" fillId="0" borderId="23" xfId="1" applyNumberFormat="1" applyFont="1" applyFill="1" applyBorder="1"/>
    <xf numFmtId="171" fontId="17" fillId="0" borderId="1" xfId="0" applyNumberFormat="1" applyFont="1" applyBorder="1"/>
    <xf numFmtId="0" fontId="25" fillId="0" borderId="1" xfId="0" applyFont="1" applyBorder="1"/>
    <xf numFmtId="0" fontId="18" fillId="0" borderId="17" xfId="0" applyFont="1" applyBorder="1"/>
    <xf numFmtId="0" fontId="18" fillId="0" borderId="14" xfId="0" applyFont="1" applyBorder="1"/>
    <xf numFmtId="10" fontId="26" fillId="0" borderId="14" xfId="0" applyNumberFormat="1" applyFont="1" applyBorder="1"/>
    <xf numFmtId="0" fontId="24" fillId="7" borderId="12" xfId="0" applyFont="1" applyFill="1" applyBorder="1"/>
    <xf numFmtId="168" fontId="17" fillId="7" borderId="1" xfId="2" applyNumberFormat="1" applyFont="1" applyFill="1" applyBorder="1"/>
    <xf numFmtId="0" fontId="24" fillId="7" borderId="1" xfId="0" applyFont="1" applyFill="1" applyBorder="1"/>
    <xf numFmtId="170" fontId="17" fillId="7" borderId="1" xfId="2" applyNumberFormat="1" applyFont="1" applyFill="1" applyBorder="1"/>
    <xf numFmtId="168" fontId="24" fillId="7" borderId="1" xfId="0" applyNumberFormat="1" applyFont="1" applyFill="1" applyBorder="1"/>
    <xf numFmtId="168" fontId="17" fillId="8" borderId="1" xfId="2" applyNumberFormat="1" applyFont="1" applyFill="1" applyBorder="1"/>
    <xf numFmtId="0" fontId="25" fillId="8" borderId="12" xfId="0" applyFont="1" applyFill="1" applyBorder="1"/>
    <xf numFmtId="10" fontId="26" fillId="8" borderId="1" xfId="0" applyNumberFormat="1" applyFont="1" applyFill="1" applyBorder="1"/>
    <xf numFmtId="0" fontId="25" fillId="8" borderId="1" xfId="0" applyFont="1" applyFill="1" applyBorder="1"/>
    <xf numFmtId="0" fontId="25" fillId="8" borderId="1" xfId="0" applyFont="1" applyFill="1" applyBorder="1" applyAlignment="1">
      <alignment horizontal="right"/>
    </xf>
    <xf numFmtId="168" fontId="0" fillId="0" borderId="23" xfId="2" applyNumberFormat="1" applyFont="1" applyFill="1" applyBorder="1"/>
    <xf numFmtId="4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17" fillId="0" borderId="12" xfId="0" applyFont="1" applyBorder="1"/>
    <xf numFmtId="4" fontId="18" fillId="0" borderId="1" xfId="0" applyNumberFormat="1" applyFont="1" applyBorder="1"/>
    <xf numFmtId="4" fontId="18" fillId="0" borderId="23" xfId="0" applyNumberFormat="1" applyFont="1" applyBorder="1"/>
    <xf numFmtId="0" fontId="17" fillId="9" borderId="12" xfId="0" applyFont="1" applyFill="1" applyBorder="1"/>
    <xf numFmtId="0" fontId="17" fillId="9" borderId="1" xfId="0" applyFont="1" applyFill="1" applyBorder="1"/>
    <xf numFmtId="165" fontId="17" fillId="9" borderId="1" xfId="2" applyNumberFormat="1" applyFont="1" applyFill="1" applyBorder="1"/>
    <xf numFmtId="168" fontId="17" fillId="9" borderId="1" xfId="2" applyNumberFormat="1" applyFont="1" applyFill="1" applyBorder="1"/>
    <xf numFmtId="168" fontId="17" fillId="9" borderId="23" xfId="2" applyNumberFormat="1" applyFont="1" applyFill="1" applyBorder="1"/>
    <xf numFmtId="165" fontId="17" fillId="9" borderId="1" xfId="0" applyNumberFormat="1" applyFont="1" applyFill="1" applyBorder="1"/>
    <xf numFmtId="0" fontId="24" fillId="9" borderId="12" xfId="0" applyFont="1" applyFill="1" applyBorder="1"/>
    <xf numFmtId="0" fontId="24" fillId="9" borderId="1" xfId="0" applyFont="1" applyFill="1" applyBorder="1"/>
    <xf numFmtId="165" fontId="24" fillId="9" borderId="1" xfId="2" applyNumberFormat="1" applyFont="1" applyFill="1" applyBorder="1"/>
    <xf numFmtId="168" fontId="24" fillId="9" borderId="1" xfId="2" applyNumberFormat="1" applyFont="1" applyFill="1" applyBorder="1"/>
    <xf numFmtId="168" fontId="24" fillId="9" borderId="23" xfId="2" applyNumberFormat="1" applyFont="1" applyFill="1" applyBorder="1"/>
    <xf numFmtId="0" fontId="24" fillId="9" borderId="17" xfId="0" applyFont="1" applyFill="1" applyBorder="1"/>
    <xf numFmtId="0" fontId="24" fillId="9" borderId="14" xfId="0" applyFont="1" applyFill="1" applyBorder="1"/>
    <xf numFmtId="165" fontId="24" fillId="9" borderId="14" xfId="2" applyNumberFormat="1" applyFont="1" applyFill="1" applyBorder="1"/>
    <xf numFmtId="168" fontId="24" fillId="9" borderId="14" xfId="2" applyNumberFormat="1" applyFont="1" applyFill="1" applyBorder="1"/>
    <xf numFmtId="165" fontId="17" fillId="9" borderId="13" xfId="0" applyNumberFormat="1" applyFont="1" applyFill="1" applyBorder="1"/>
    <xf numFmtId="168" fontId="24" fillId="9" borderId="15" xfId="2" applyNumberFormat="1" applyFont="1" applyFill="1" applyBorder="1"/>
    <xf numFmtId="0" fontId="24" fillId="7" borderId="18" xfId="0" applyFont="1" applyFill="1" applyBorder="1"/>
    <xf numFmtId="165" fontId="24" fillId="7" borderId="19" xfId="0" applyNumberFormat="1" applyFont="1" applyFill="1" applyBorder="1"/>
    <xf numFmtId="168" fontId="17" fillId="7" borderId="19" xfId="2" applyNumberFormat="1" applyFont="1" applyFill="1" applyBorder="1"/>
    <xf numFmtId="0" fontId="24" fillId="7" borderId="19" xfId="0" applyFont="1" applyFill="1" applyBorder="1"/>
    <xf numFmtId="2" fontId="24" fillId="7" borderId="22" xfId="0" applyNumberFormat="1" applyFont="1" applyFill="1" applyBorder="1"/>
    <xf numFmtId="2" fontId="24" fillId="0" borderId="13" xfId="0" applyNumberFormat="1" applyFont="1" applyBorder="1"/>
    <xf numFmtId="2" fontId="18" fillId="0" borderId="23" xfId="0" applyNumberFormat="1" applyFont="1" applyBorder="1"/>
    <xf numFmtId="2" fontId="24" fillId="7" borderId="23" xfId="0" applyNumberFormat="1" applyFont="1" applyFill="1" applyBorder="1"/>
    <xf numFmtId="2" fontId="24" fillId="7" borderId="13" xfId="0" applyNumberFormat="1" applyFont="1" applyFill="1" applyBorder="1"/>
    <xf numFmtId="2" fontId="24" fillId="0" borderId="23" xfId="0" applyNumberFormat="1" applyFont="1" applyBorder="1"/>
    <xf numFmtId="2" fontId="25" fillId="0" borderId="23" xfId="0" applyNumberFormat="1" applyFont="1" applyBorder="1"/>
    <xf numFmtId="2" fontId="18" fillId="0" borderId="24" xfId="0" applyNumberFormat="1" applyFont="1" applyBorder="1"/>
    <xf numFmtId="2" fontId="18" fillId="0" borderId="0" xfId="0" applyNumberFormat="1" applyFont="1"/>
    <xf numFmtId="2" fontId="18" fillId="6" borderId="0" xfId="0" applyNumberFormat="1" applyFont="1" applyFill="1"/>
    <xf numFmtId="2" fontId="17" fillId="0" borderId="23" xfId="2" applyNumberFormat="1" applyFont="1" applyFill="1" applyBorder="1"/>
    <xf numFmtId="2" fontId="4" fillId="0" borderId="23" xfId="2" applyNumberFormat="1" applyFont="1" applyFill="1" applyBorder="1"/>
    <xf numFmtId="2" fontId="0" fillId="0" borderId="23" xfId="2" applyNumberFormat="1" applyFont="1" applyBorder="1"/>
    <xf numFmtId="2" fontId="17" fillId="0" borderId="23" xfId="2" applyNumberFormat="1" applyFont="1" applyBorder="1"/>
    <xf numFmtId="2" fontId="16" fillId="0" borderId="0" xfId="0" applyNumberFormat="1" applyFont="1"/>
    <xf numFmtId="10" fontId="17" fillId="0" borderId="23" xfId="1" applyNumberFormat="1" applyFont="1" applyBorder="1"/>
    <xf numFmtId="0" fontId="24" fillId="0" borderId="12" xfId="0" applyFont="1" applyFill="1" applyBorder="1"/>
    <xf numFmtId="0" fontId="24" fillId="0" borderId="1" xfId="0" applyFont="1" applyFill="1" applyBorder="1"/>
    <xf numFmtId="168" fontId="24" fillId="0" borderId="1" xfId="0" applyNumberFormat="1" applyFont="1" applyFill="1" applyBorder="1"/>
    <xf numFmtId="2" fontId="17" fillId="0" borderId="13" xfId="2" applyNumberFormat="1" applyFont="1" applyFill="1" applyBorder="1"/>
    <xf numFmtId="0" fontId="18" fillId="0" borderId="12" xfId="0" applyFont="1" applyFill="1" applyBorder="1"/>
    <xf numFmtId="0" fontId="18" fillId="0" borderId="1" xfId="0" applyFont="1" applyFill="1" applyBorder="1"/>
    <xf numFmtId="168" fontId="0" fillId="0" borderId="1" xfId="2" applyNumberFormat="1" applyFont="1" applyFill="1" applyBorder="1" applyAlignment="1">
      <alignment horizontal="center"/>
    </xf>
    <xf numFmtId="0" fontId="24" fillId="0" borderId="17" xfId="0" applyFont="1" applyFill="1" applyBorder="1"/>
    <xf numFmtId="0" fontId="24" fillId="0" borderId="14" xfId="0" applyFont="1" applyFill="1" applyBorder="1"/>
    <xf numFmtId="43" fontId="24" fillId="0" borderId="14" xfId="0" applyNumberFormat="1" applyFont="1" applyFill="1" applyBorder="1"/>
    <xf numFmtId="165" fontId="17" fillId="0" borderId="14" xfId="2" applyNumberFormat="1" applyFont="1" applyFill="1" applyBorder="1"/>
    <xf numFmtId="2" fontId="17" fillId="0" borderId="15" xfId="2" applyNumberFormat="1" applyFont="1" applyFill="1" applyBorder="1"/>
    <xf numFmtId="168" fontId="17" fillId="0" borderId="14" xfId="2" applyNumberFormat="1" applyFont="1" applyFill="1" applyBorder="1"/>
    <xf numFmtId="2" fontId="17" fillId="0" borderId="24" xfId="2" applyNumberFormat="1" applyFont="1" applyFill="1" applyBorder="1"/>
    <xf numFmtId="3" fontId="27" fillId="0" borderId="1" xfId="0" applyNumberFormat="1" applyFont="1" applyFill="1" applyBorder="1"/>
    <xf numFmtId="3" fontId="0" fillId="0" borderId="1" xfId="0" applyNumberFormat="1" applyFill="1" applyBorder="1"/>
    <xf numFmtId="2" fontId="0" fillId="0" borderId="1" xfId="0" applyNumberFormat="1" applyFill="1" applyBorder="1"/>
    <xf numFmtId="0" fontId="18" fillId="0" borderId="17" xfId="0" applyFont="1" applyFill="1" applyBorder="1"/>
    <xf numFmtId="0" fontId="18" fillId="0" borderId="14" xfId="0" applyFont="1" applyFill="1" applyBorder="1"/>
    <xf numFmtId="0" fontId="21" fillId="10" borderId="26" xfId="0" applyFont="1" applyFill="1" applyBorder="1" applyAlignment="1">
      <alignment vertical="center"/>
    </xf>
    <xf numFmtId="0" fontId="21" fillId="10" borderId="27" xfId="0" applyFont="1" applyFill="1" applyBorder="1" applyAlignment="1">
      <alignment vertical="center"/>
    </xf>
    <xf numFmtId="0" fontId="21" fillId="10" borderId="27" xfId="0" applyFont="1" applyFill="1" applyBorder="1" applyAlignment="1">
      <alignment horizontal="right" vertical="center"/>
    </xf>
    <xf numFmtId="0" fontId="21" fillId="10" borderId="26" xfId="0" applyFont="1" applyFill="1" applyBorder="1" applyAlignment="1">
      <alignment horizontal="right" vertical="center"/>
    </xf>
    <xf numFmtId="2" fontId="21" fillId="10" borderId="25" xfId="0" applyNumberFormat="1" applyFont="1" applyFill="1" applyBorder="1" applyAlignment="1">
      <alignment horizontal="right" vertical="center"/>
    </xf>
    <xf numFmtId="0" fontId="21" fillId="10" borderId="18" xfId="0" applyFont="1" applyFill="1" applyBorder="1" applyAlignment="1">
      <alignment vertical="center"/>
    </xf>
    <xf numFmtId="0" fontId="21" fillId="10" borderId="19" xfId="0" applyFont="1" applyFill="1" applyBorder="1" applyAlignment="1">
      <alignment vertical="center"/>
    </xf>
    <xf numFmtId="0" fontId="21" fillId="10" borderId="19" xfId="0" applyFont="1" applyFill="1" applyBorder="1" applyAlignment="1">
      <alignment horizontal="right" vertical="center"/>
    </xf>
    <xf numFmtId="0" fontId="21" fillId="10" borderId="20" xfId="0" applyFont="1" applyFill="1" applyBorder="1" applyAlignment="1">
      <alignment horizontal="right" vertical="center"/>
    </xf>
    <xf numFmtId="0" fontId="21" fillId="10" borderId="18" xfId="0" applyFont="1" applyFill="1" applyBorder="1"/>
    <xf numFmtId="0" fontId="21" fillId="10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right"/>
    </xf>
    <xf numFmtId="2" fontId="21" fillId="10" borderId="22" xfId="0" applyNumberFormat="1" applyFont="1" applyFill="1" applyBorder="1" applyAlignment="1">
      <alignment horizontal="right"/>
    </xf>
    <xf numFmtId="2" fontId="21" fillId="10" borderId="20" xfId="0" applyNumberFormat="1" applyFont="1" applyFill="1" applyBorder="1" applyAlignment="1">
      <alignment horizontal="right"/>
    </xf>
    <xf numFmtId="2" fontId="0" fillId="0" borderId="13" xfId="2" applyNumberFormat="1" applyFont="1" applyFill="1" applyBorder="1" applyAlignment="1">
      <alignment horizontal="right"/>
    </xf>
    <xf numFmtId="165" fontId="18" fillId="0" borderId="12" xfId="0" applyNumberFormat="1" applyFont="1" applyFill="1" applyBorder="1"/>
    <xf numFmtId="165" fontId="24" fillId="0" borderId="1" xfId="0" applyNumberFormat="1" applyFont="1" applyFill="1" applyBorder="1"/>
    <xf numFmtId="165" fontId="18" fillId="0" borderId="1" xfId="0" applyNumberFormat="1" applyFont="1" applyFill="1" applyBorder="1"/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13" xfId="0" applyNumberFormat="1" applyFill="1" applyBorder="1" applyAlignment="1">
      <alignment horizontal="right"/>
    </xf>
    <xf numFmtId="43" fontId="18" fillId="0" borderId="1" xfId="2" applyFont="1" applyFill="1" applyBorder="1" applyAlignment="1">
      <alignment horizontal="right"/>
    </xf>
    <xf numFmtId="43" fontId="0" fillId="0" borderId="13" xfId="2" applyFont="1" applyFill="1" applyBorder="1"/>
    <xf numFmtId="43" fontId="16" fillId="0" borderId="1" xfId="2" applyFont="1" applyFill="1" applyBorder="1" applyAlignment="1">
      <alignment horizontal="right"/>
    </xf>
    <xf numFmtId="166" fontId="18" fillId="0" borderId="12" xfId="0" applyNumberFormat="1" applyFont="1" applyFill="1" applyBorder="1"/>
    <xf numFmtId="166" fontId="18" fillId="0" borderId="1" xfId="0" applyNumberFormat="1" applyFont="1" applyFill="1" applyBorder="1"/>
    <xf numFmtId="10" fontId="0" fillId="0" borderId="1" xfId="0" applyNumberFormat="1" applyFill="1" applyBorder="1" applyAlignment="1">
      <alignment horizontal="right"/>
    </xf>
    <xf numFmtId="10" fontId="0" fillId="0" borderId="1" xfId="0" applyNumberFormat="1" applyFill="1" applyBorder="1"/>
    <xf numFmtId="2" fontId="18" fillId="0" borderId="1" xfId="0" applyNumberFormat="1" applyFont="1" applyFill="1" applyBorder="1" applyAlignment="1">
      <alignment horizontal="right"/>
    </xf>
    <xf numFmtId="10" fontId="0" fillId="0" borderId="1" xfId="1" applyNumberFormat="1" applyFont="1" applyFill="1" applyBorder="1" applyAlignment="1">
      <alignment horizontal="right"/>
    </xf>
    <xf numFmtId="1" fontId="18" fillId="0" borderId="1" xfId="0" applyNumberFormat="1" applyFont="1" applyFill="1" applyBorder="1" applyAlignment="1">
      <alignment horizontal="right"/>
    </xf>
    <xf numFmtId="1" fontId="18" fillId="0" borderId="1" xfId="0" applyNumberFormat="1" applyFont="1" applyFill="1" applyBorder="1"/>
    <xf numFmtId="1" fontId="0" fillId="0" borderId="1" xfId="0" applyNumberFormat="1" applyFill="1" applyBorder="1" applyAlignment="1">
      <alignment horizontal="right"/>
    </xf>
    <xf numFmtId="1" fontId="0" fillId="0" borderId="1" xfId="0" applyNumberFormat="1" applyFill="1" applyBorder="1"/>
    <xf numFmtId="2" fontId="0" fillId="0" borderId="1" xfId="1" applyNumberFormat="1" applyFont="1" applyFill="1" applyBorder="1" applyAlignment="1">
      <alignment horizontal="right"/>
    </xf>
    <xf numFmtId="2" fontId="0" fillId="0" borderId="1" xfId="1" applyNumberFormat="1" applyFont="1" applyFill="1" applyBorder="1"/>
    <xf numFmtId="43" fontId="18" fillId="0" borderId="1" xfId="0" applyNumberFormat="1" applyFont="1" applyFill="1" applyBorder="1" applyAlignment="1">
      <alignment horizontal="right"/>
    </xf>
    <xf numFmtId="43" fontId="18" fillId="0" borderId="1" xfId="0" applyNumberFormat="1" applyFont="1" applyFill="1" applyBorder="1"/>
    <xf numFmtId="165" fontId="17" fillId="0" borderId="13" xfId="0" applyNumberFormat="1" applyFont="1" applyFill="1" applyBorder="1"/>
    <xf numFmtId="3" fontId="0" fillId="0" borderId="13" xfId="0" applyNumberFormat="1" applyFill="1" applyBorder="1"/>
    <xf numFmtId="2" fontId="0" fillId="0" borderId="13" xfId="2" applyNumberFormat="1" applyFont="1" applyFill="1" applyBorder="1"/>
    <xf numFmtId="10" fontId="26" fillId="0" borderId="13" xfId="0" applyNumberFormat="1" applyFont="1" applyBorder="1"/>
    <xf numFmtId="0" fontId="16" fillId="0" borderId="0" xfId="0" applyFont="1" applyBorder="1"/>
    <xf numFmtId="0" fontId="21" fillId="10" borderId="19" xfId="0" applyFont="1" applyFill="1" applyBorder="1"/>
    <xf numFmtId="43" fontId="17" fillId="0" borderId="13" xfId="2" applyFont="1" applyFill="1" applyBorder="1"/>
    <xf numFmtId="10" fontId="0" fillId="0" borderId="13" xfId="0" applyNumberFormat="1" applyFill="1" applyBorder="1"/>
    <xf numFmtId="2" fontId="0" fillId="0" borderId="13" xfId="0" applyNumberFormat="1" applyFill="1" applyBorder="1"/>
    <xf numFmtId="10" fontId="0" fillId="0" borderId="13" xfId="1" applyNumberFormat="1" applyFont="1" applyFill="1" applyBorder="1"/>
    <xf numFmtId="1" fontId="18" fillId="0" borderId="13" xfId="0" applyNumberFormat="1" applyFont="1" applyFill="1" applyBorder="1"/>
    <xf numFmtId="1" fontId="0" fillId="0" borderId="13" xfId="0" applyNumberFormat="1" applyFill="1" applyBorder="1"/>
    <xf numFmtId="2" fontId="0" fillId="0" borderId="13" xfId="1" applyNumberFormat="1" applyFont="1" applyFill="1" applyBorder="1"/>
    <xf numFmtId="43" fontId="18" fillId="0" borderId="13" xfId="0" applyNumberFormat="1" applyFont="1" applyFill="1" applyBorder="1"/>
    <xf numFmtId="43" fontId="0" fillId="6" borderId="15" xfId="2" applyFont="1" applyFill="1" applyBorder="1"/>
    <xf numFmtId="168" fontId="18" fillId="0" borderId="1" xfId="2" applyNumberFormat="1" applyFont="1" applyBorder="1" applyAlignment="1">
      <alignment horizontal="center"/>
    </xf>
    <xf numFmtId="0" fontId="24" fillId="11" borderId="12" xfId="0" applyFont="1" applyFill="1" applyBorder="1"/>
    <xf numFmtId="0" fontId="24" fillId="11" borderId="1" xfId="0" applyFont="1" applyFill="1" applyBorder="1"/>
    <xf numFmtId="165" fontId="24" fillId="11" borderId="1" xfId="2" applyNumberFormat="1" applyFont="1" applyFill="1" applyBorder="1"/>
    <xf numFmtId="168" fontId="24" fillId="11" borderId="1" xfId="2" applyNumberFormat="1" applyFont="1" applyFill="1" applyBorder="1"/>
    <xf numFmtId="168" fontId="24" fillId="11" borderId="13" xfId="2" applyNumberFormat="1" applyFont="1" applyFill="1" applyBorder="1"/>
    <xf numFmtId="0" fontId="21" fillId="0" borderId="10" xfId="0" applyFont="1" applyFill="1" applyBorder="1" applyAlignment="1">
      <alignment vertical="center"/>
    </xf>
    <xf numFmtId="0" fontId="18" fillId="0" borderId="0" xfId="0" applyFont="1" applyFill="1"/>
    <xf numFmtId="0" fontId="22" fillId="0" borderId="0" xfId="0" applyFont="1" applyFill="1"/>
    <xf numFmtId="0" fontId="24" fillId="0" borderId="9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2" fontId="21" fillId="0" borderId="0" xfId="0" applyNumberFormat="1" applyFont="1" applyFill="1" applyBorder="1" applyAlignment="1">
      <alignment vertical="center"/>
    </xf>
    <xf numFmtId="0" fontId="21" fillId="10" borderId="29" xfId="0" applyFont="1" applyFill="1" applyBorder="1" applyAlignment="1">
      <alignment vertical="center"/>
    </xf>
    <xf numFmtId="0" fontId="21" fillId="10" borderId="2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right" vertical="center"/>
    </xf>
    <xf numFmtId="0" fontId="21" fillId="10" borderId="30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left"/>
    </xf>
    <xf numFmtId="0" fontId="23" fillId="0" borderId="31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0" fontId="26" fillId="8" borderId="23" xfId="1" applyNumberFormat="1" applyFont="1" applyFill="1" applyBorder="1"/>
    <xf numFmtId="0" fontId="24" fillId="0" borderId="0" xfId="0" applyFont="1" applyFill="1" applyBorder="1"/>
    <xf numFmtId="168" fontId="17" fillId="0" borderId="0" xfId="2" applyNumberFormat="1" applyFont="1" applyFill="1" applyBorder="1"/>
    <xf numFmtId="2" fontId="17" fillId="0" borderId="0" xfId="2" applyNumberFormat="1" applyFont="1" applyFill="1" applyBorder="1"/>
  </cellXfs>
  <cellStyles count="5">
    <cellStyle name="Comma" xfId="2" builtinId="3"/>
    <cellStyle name="Comma 3" xfId="4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showGridLines="0" tabSelected="1" topLeftCell="C1" zoomScaleNormal="100" zoomScaleSheetLayoutView="70" workbookViewId="0">
      <selection activeCell="N7" sqref="N7"/>
    </sheetView>
  </sheetViews>
  <sheetFormatPr defaultColWidth="9.109375" defaultRowHeight="14.4"/>
  <cols>
    <col min="1" max="1" width="45.6640625" style="113" bestFit="1" customWidth="1"/>
    <col min="2" max="2" width="8.6640625" style="113" bestFit="1" customWidth="1"/>
    <col min="3" max="5" width="10.6640625" style="113" customWidth="1"/>
    <col min="6" max="6" width="11.44140625" style="113" bestFit="1" customWidth="1"/>
    <col min="7" max="7" width="11.33203125" style="113" bestFit="1" customWidth="1"/>
    <col min="8" max="8" width="11.5546875" style="113" bestFit="1" customWidth="1"/>
    <col min="9" max="9" width="10.6640625" style="220" bestFit="1" customWidth="1"/>
    <col min="10" max="10" width="6.33203125" style="113" customWidth="1"/>
    <col min="11" max="11" width="36" style="113" customWidth="1"/>
    <col min="12" max="12" width="9.6640625" style="113" hidden="1" customWidth="1"/>
    <col min="13" max="13" width="10.6640625" style="113" customWidth="1"/>
    <col min="14" max="14" width="10.6640625" style="125" customWidth="1"/>
    <col min="15" max="16" width="10.6640625" style="118" customWidth="1"/>
    <col min="17" max="17" width="11.109375" style="118" bestFit="1" customWidth="1"/>
    <col min="18" max="18" width="10.88671875" style="113" customWidth="1"/>
    <col min="19" max="19" width="12.33203125" style="127" bestFit="1" customWidth="1"/>
    <col min="20" max="16384" width="9.109375" style="113"/>
  </cols>
  <sheetData>
    <row r="1" spans="1:20" s="307" customFormat="1" ht="15" thickBot="1">
      <c r="A1" s="310" t="s">
        <v>170</v>
      </c>
      <c r="B1" s="311"/>
      <c r="C1" s="311"/>
      <c r="D1" s="311"/>
      <c r="E1" s="311"/>
      <c r="F1" s="311"/>
      <c r="G1" s="311"/>
      <c r="H1" s="311"/>
      <c r="I1" s="312"/>
      <c r="J1" s="306"/>
      <c r="K1" s="306"/>
      <c r="L1" s="306"/>
      <c r="M1" s="306"/>
      <c r="N1" s="306"/>
      <c r="O1" s="306"/>
      <c r="P1" s="306"/>
      <c r="Q1" s="311"/>
      <c r="S1" s="308"/>
    </row>
    <row r="2" spans="1:20" s="307" customFormat="1" ht="15" thickBot="1">
      <c r="A2" s="309"/>
      <c r="B2" s="311"/>
      <c r="C2" s="311"/>
      <c r="D2" s="311"/>
      <c r="E2" s="311"/>
      <c r="F2" s="311"/>
      <c r="G2" s="311"/>
      <c r="H2" s="311"/>
      <c r="I2" s="312"/>
      <c r="J2" s="311"/>
      <c r="K2" s="311"/>
      <c r="L2" s="311"/>
      <c r="M2" s="311"/>
      <c r="N2" s="311"/>
      <c r="O2" s="311"/>
      <c r="P2" s="311"/>
      <c r="Q2" s="311"/>
      <c r="S2" s="308"/>
    </row>
    <row r="3" spans="1:20" ht="15" thickBot="1">
      <c r="A3" s="321" t="s">
        <v>77</v>
      </c>
      <c r="B3" s="322"/>
      <c r="C3" s="322"/>
      <c r="D3" s="322"/>
      <c r="E3" s="322"/>
      <c r="F3" s="322"/>
      <c r="G3" s="322"/>
      <c r="H3" s="322"/>
      <c r="I3" s="323"/>
      <c r="J3" s="128"/>
      <c r="K3" s="318" t="s">
        <v>76</v>
      </c>
      <c r="L3" s="319"/>
      <c r="M3" s="319"/>
      <c r="N3" s="319"/>
      <c r="O3" s="319"/>
      <c r="P3" s="319"/>
      <c r="Q3" s="319"/>
      <c r="R3" s="319"/>
      <c r="S3" s="320"/>
    </row>
    <row r="4" spans="1:20" ht="15" thickBot="1">
      <c r="A4" s="247" t="s">
        <v>0</v>
      </c>
      <c r="B4" s="248" t="s">
        <v>28</v>
      </c>
      <c r="C4" s="249" t="s">
        <v>29</v>
      </c>
      <c r="D4" s="249" t="s">
        <v>72</v>
      </c>
      <c r="E4" s="249" t="s">
        <v>78</v>
      </c>
      <c r="F4" s="249" t="s">
        <v>179</v>
      </c>
      <c r="G4" s="249" t="s">
        <v>196</v>
      </c>
      <c r="H4" s="250" t="s">
        <v>199</v>
      </c>
      <c r="I4" s="251" t="s">
        <v>202</v>
      </c>
      <c r="J4" s="128"/>
      <c r="K4" s="313" t="s">
        <v>0</v>
      </c>
      <c r="L4" s="314" t="s">
        <v>28</v>
      </c>
      <c r="M4" s="315" t="s">
        <v>29</v>
      </c>
      <c r="N4" s="315" t="s">
        <v>72</v>
      </c>
      <c r="O4" s="315" t="s">
        <v>78</v>
      </c>
      <c r="P4" s="315" t="s">
        <v>179</v>
      </c>
      <c r="Q4" s="315" t="str">
        <f>$G$4</f>
        <v>FY21</v>
      </c>
      <c r="R4" s="316" t="s">
        <v>199</v>
      </c>
      <c r="S4" s="316" t="s">
        <v>202</v>
      </c>
    </row>
    <row r="5" spans="1:20">
      <c r="A5" s="208" t="s">
        <v>79</v>
      </c>
      <c r="B5" s="209">
        <v>1548.038</v>
      </c>
      <c r="C5" s="209">
        <v>1656.883</v>
      </c>
      <c r="D5" s="210">
        <v>3029.7579999999998</v>
      </c>
      <c r="E5" s="210">
        <v>4046.7040000000002</v>
      </c>
      <c r="F5" s="210">
        <v>2929.4920000000002</v>
      </c>
      <c r="G5" s="210">
        <v>3772.8879999999999</v>
      </c>
      <c r="H5" s="211">
        <v>3985.1570000000002</v>
      </c>
      <c r="I5" s="212">
        <v>3499.4389999999999</v>
      </c>
      <c r="J5" s="130"/>
      <c r="K5" s="142" t="s">
        <v>80</v>
      </c>
      <c r="L5" s="92"/>
      <c r="M5" s="116">
        <v>22.931999999999999</v>
      </c>
      <c r="N5" s="119">
        <v>22.931999999999999</v>
      </c>
      <c r="O5" s="119">
        <v>45.863999999999997</v>
      </c>
      <c r="P5" s="119">
        <v>144.23699999999999</v>
      </c>
      <c r="Q5" s="119">
        <v>144.23699999999999</v>
      </c>
      <c r="R5" s="119">
        <v>144.23699999999999</v>
      </c>
      <c r="S5" s="185">
        <v>144.28700000000001</v>
      </c>
    </row>
    <row r="6" spans="1:20">
      <c r="A6" s="181" t="s">
        <v>1</v>
      </c>
      <c r="B6" s="182"/>
      <c r="C6" s="182">
        <f t="shared" ref="C6:D6" si="0">(C5/B5-1)</f>
        <v>7.031158149864547E-2</v>
      </c>
      <c r="D6" s="182">
        <f t="shared" si="0"/>
        <v>0.82858898304828998</v>
      </c>
      <c r="E6" s="182">
        <f>(E5/D5-1)</f>
        <v>0.33565255046772724</v>
      </c>
      <c r="F6" s="182">
        <f>(F5/E5-1)</f>
        <v>-0.2760794958069579</v>
      </c>
      <c r="G6" s="182">
        <f>(G5/F5-1)</f>
        <v>0.28789837965080634</v>
      </c>
      <c r="H6" s="182">
        <f>(H5/G5-1)</f>
        <v>5.6261675406214184E-2</v>
      </c>
      <c r="I6" s="182">
        <f>(I5/H5-1)</f>
        <v>-0.12188177278837453</v>
      </c>
      <c r="K6" s="142" t="s">
        <v>168</v>
      </c>
      <c r="L6" s="92"/>
      <c r="M6" s="116"/>
      <c r="N6" s="119"/>
      <c r="O6" s="119">
        <v>2.2149999999999999</v>
      </c>
      <c r="P6" s="119">
        <v>0</v>
      </c>
      <c r="Q6" s="119"/>
      <c r="R6" s="119"/>
      <c r="S6" s="185"/>
    </row>
    <row r="7" spans="1:20">
      <c r="A7" s="181" t="s">
        <v>82</v>
      </c>
      <c r="B7" s="180"/>
      <c r="C7" s="180"/>
      <c r="D7" s="180"/>
      <c r="E7" s="182">
        <f>(E5/B5)^(1/3)-1</f>
        <v>0.37754757683219986</v>
      </c>
      <c r="F7" s="182">
        <f>((F5/C5)^(1/3))-1</f>
        <v>0.20920562318481073</v>
      </c>
      <c r="G7" s="182">
        <f>((G5/D5)^(1/3))-1</f>
        <v>7.5858917809119353E-2</v>
      </c>
      <c r="H7" s="182">
        <f>((H5/E5)^(1/3))-1</f>
        <v>-5.0956440704490458E-3</v>
      </c>
      <c r="I7" s="344">
        <f>((I5/F5)^(1/3))-1</f>
        <v>6.1048829008766292E-2</v>
      </c>
      <c r="K7" s="142" t="s">
        <v>81</v>
      </c>
      <c r="L7" s="92"/>
      <c r="M7" s="116">
        <v>1421.059</v>
      </c>
      <c r="N7" s="186">
        <v>1221.55</v>
      </c>
      <c r="O7" s="119">
        <v>2457.3989999999999</v>
      </c>
      <c r="P7" s="119">
        <v>2950.1170000000002</v>
      </c>
      <c r="Q7" s="119">
        <v>3461.7</v>
      </c>
      <c r="R7" s="119">
        <v>3577.11</v>
      </c>
      <c r="S7" s="185">
        <v>3002.0619999999999</v>
      </c>
    </row>
    <row r="8" spans="1:20">
      <c r="A8" s="129" t="s">
        <v>2</v>
      </c>
      <c r="B8" s="115">
        <f t="shared" ref="B8:F8" si="1">SUM(B9:B17)</f>
        <v>1346.0449999999998</v>
      </c>
      <c r="C8" s="115">
        <f t="shared" si="1"/>
        <v>1537.25</v>
      </c>
      <c r="D8" s="115">
        <f t="shared" si="1"/>
        <v>2099.6</v>
      </c>
      <c r="E8" s="115">
        <f t="shared" si="1"/>
        <v>2557.8829999999998</v>
      </c>
      <c r="F8" s="115">
        <f t="shared" si="1"/>
        <v>2277.12</v>
      </c>
      <c r="G8" s="115">
        <f>SUM(G9:G17)</f>
        <v>2956.2570000000001</v>
      </c>
      <c r="H8" s="122">
        <f>SUM(H9:H17)</f>
        <v>3370.6260000000002</v>
      </c>
      <c r="I8" s="213">
        <f>SUM(I9:I17)</f>
        <v>3320.047</v>
      </c>
      <c r="K8" s="142" t="s">
        <v>194</v>
      </c>
      <c r="L8" s="92" t="e">
        <f>K8/10</f>
        <v>#VALUE!</v>
      </c>
      <c r="M8" s="187" t="s">
        <v>193</v>
      </c>
      <c r="N8" s="187" t="s">
        <v>193</v>
      </c>
      <c r="O8" s="187" t="s">
        <v>193</v>
      </c>
      <c r="P8" s="187" t="s">
        <v>193</v>
      </c>
      <c r="Q8" s="119">
        <v>-2.96</v>
      </c>
      <c r="R8" s="119">
        <v>-6.8280000000000003</v>
      </c>
      <c r="S8" s="185">
        <v>-27.49</v>
      </c>
    </row>
    <row r="9" spans="1:20">
      <c r="A9" s="131" t="s">
        <v>83</v>
      </c>
      <c r="B9" s="107">
        <v>628.48299999999995</v>
      </c>
      <c r="C9" s="107">
        <v>818.75800000000004</v>
      </c>
      <c r="D9" s="119">
        <v>849.024</v>
      </c>
      <c r="E9" s="119">
        <v>1032</v>
      </c>
      <c r="F9" s="119">
        <v>1056.126</v>
      </c>
      <c r="G9" s="119">
        <v>1419.463</v>
      </c>
      <c r="H9" s="93">
        <v>1321.876</v>
      </c>
      <c r="I9" s="214">
        <v>1120.1590000000001</v>
      </c>
      <c r="J9" s="132"/>
      <c r="K9" s="191" t="s">
        <v>30</v>
      </c>
      <c r="L9" s="192"/>
      <c r="M9" s="193">
        <f>(M5+M7)</f>
        <v>1443.991</v>
      </c>
      <c r="N9" s="194">
        <f>(N5+N7+N6)</f>
        <v>1244.482</v>
      </c>
      <c r="O9" s="194">
        <f>(O5+O7+O6)</f>
        <v>2505.4780000000001</v>
      </c>
      <c r="P9" s="194">
        <f>(P5+P7+P6)</f>
        <v>3094.3540000000003</v>
      </c>
      <c r="Q9" s="194">
        <f>(Q5+Q8+Q7+Q6)</f>
        <v>3602.9769999999999</v>
      </c>
      <c r="R9" s="194">
        <f>(R5+R8+R7+R6)</f>
        <v>3714.5190000000002</v>
      </c>
      <c r="S9" s="195">
        <f>(S5+S8+S7+S6)</f>
        <v>3118.8589999999999</v>
      </c>
    </row>
    <row r="10" spans="1:20" ht="15" customHeight="1">
      <c r="A10" s="131" t="s">
        <v>111</v>
      </c>
      <c r="B10" s="107">
        <v>16.010999999999999</v>
      </c>
      <c r="C10" s="107">
        <v>2.2210000000000001</v>
      </c>
      <c r="D10" s="143">
        <v>2.88</v>
      </c>
      <c r="E10" s="143">
        <v>18.754000000000001</v>
      </c>
      <c r="F10" s="143">
        <v>5.0149999999999997</v>
      </c>
      <c r="G10" s="143">
        <v>211.73600000000002</v>
      </c>
      <c r="H10" s="93">
        <v>146.97200000000001</v>
      </c>
      <c r="I10" s="214">
        <v>190.24600000000001</v>
      </c>
      <c r="K10" s="142" t="s">
        <v>31</v>
      </c>
      <c r="L10" s="92"/>
      <c r="M10" s="116">
        <v>284.71100000000001</v>
      </c>
      <c r="N10" s="119">
        <v>109.836</v>
      </c>
      <c r="O10" s="119">
        <v>0.182</v>
      </c>
      <c r="P10" s="119">
        <v>0.124</v>
      </c>
      <c r="Q10" s="119">
        <v>0</v>
      </c>
      <c r="R10" s="119"/>
      <c r="S10" s="185"/>
    </row>
    <row r="11" spans="1:20" ht="13.2" customHeight="1">
      <c r="A11" s="131" t="s">
        <v>153</v>
      </c>
      <c r="B11" s="107">
        <v>-5.306</v>
      </c>
      <c r="C11" s="107">
        <v>-137.77199999999999</v>
      </c>
      <c r="D11" s="119">
        <v>-53.892000000000003</v>
      </c>
      <c r="E11" s="119">
        <v>-128.23500000000001</v>
      </c>
      <c r="F11" s="119">
        <v>-270.89</v>
      </c>
      <c r="G11" s="119">
        <v>-287.47199999999998</v>
      </c>
      <c r="H11" s="93">
        <v>62.741999999999997</v>
      </c>
      <c r="I11" s="214">
        <v>225.14</v>
      </c>
      <c r="K11" s="142" t="s">
        <v>32</v>
      </c>
      <c r="L11" s="92"/>
      <c r="M11" s="116">
        <v>403.19600000000003</v>
      </c>
      <c r="N11" s="93">
        <v>1353.6790000000001</v>
      </c>
      <c r="O11" s="93">
        <v>1352.0930000000001</v>
      </c>
      <c r="P11" s="93">
        <v>1017.867</v>
      </c>
      <c r="Q11" s="189">
        <v>1104.4000000000001</v>
      </c>
      <c r="R11" s="189">
        <v>1146.825</v>
      </c>
      <c r="S11" s="190">
        <v>835.89</v>
      </c>
    </row>
    <row r="12" spans="1:20">
      <c r="A12" s="131" t="s">
        <v>154</v>
      </c>
      <c r="B12" s="107"/>
      <c r="C12" s="107">
        <v>15.589</v>
      </c>
      <c r="D12" s="119">
        <v>3.1</v>
      </c>
      <c r="E12" s="146" t="s">
        <v>193</v>
      </c>
      <c r="F12" s="146" t="s">
        <v>193</v>
      </c>
      <c r="G12" s="146" t="s">
        <v>193</v>
      </c>
      <c r="H12" s="93">
        <v>0</v>
      </c>
      <c r="I12" s="214">
        <v>0</v>
      </c>
      <c r="K12" s="142" t="s">
        <v>33</v>
      </c>
      <c r="L12" s="92"/>
      <c r="M12" s="116">
        <v>371.30200000000002</v>
      </c>
      <c r="N12" s="116">
        <v>298.55099999999999</v>
      </c>
      <c r="O12" s="119">
        <v>602.125</v>
      </c>
      <c r="P12" s="119">
        <v>1043.33</v>
      </c>
      <c r="Q12" s="119">
        <v>963</v>
      </c>
      <c r="R12" s="119">
        <v>1214.634</v>
      </c>
      <c r="S12" s="185">
        <v>1332.5619999999999</v>
      </c>
    </row>
    <row r="13" spans="1:20">
      <c r="A13" s="131" t="s">
        <v>162</v>
      </c>
      <c r="B13" s="107"/>
      <c r="C13" s="164" t="s">
        <v>193</v>
      </c>
      <c r="D13" s="164" t="s">
        <v>193</v>
      </c>
      <c r="E13" s="119">
        <v>231.29400000000001</v>
      </c>
      <c r="F13" s="119">
        <v>90.881</v>
      </c>
      <c r="G13" s="119">
        <v>76.796999999999997</v>
      </c>
      <c r="H13" s="93">
        <v>21.228000000000002</v>
      </c>
      <c r="I13" s="214">
        <v>0</v>
      </c>
      <c r="K13" s="188" t="s">
        <v>34</v>
      </c>
      <c r="L13" s="112"/>
      <c r="M13" s="115">
        <f t="shared" ref="M13:O13" si="2">(M11+M12)</f>
        <v>774.49800000000005</v>
      </c>
      <c r="N13" s="115">
        <f t="shared" si="2"/>
        <v>1652.23</v>
      </c>
      <c r="O13" s="115">
        <f t="shared" si="2"/>
        <v>1954.2180000000001</v>
      </c>
      <c r="P13" s="115">
        <f t="shared" ref="P13:Q13" si="3">(P11+P12)</f>
        <v>2061.1970000000001</v>
      </c>
      <c r="Q13" s="115">
        <f t="shared" si="3"/>
        <v>2067.4</v>
      </c>
      <c r="R13" s="115">
        <f t="shared" ref="R13:S13" si="4">(R11+R12)</f>
        <v>2361.4589999999998</v>
      </c>
      <c r="S13" s="156">
        <f t="shared" si="4"/>
        <v>2168.4519999999998</v>
      </c>
    </row>
    <row r="14" spans="1:20">
      <c r="A14" s="131" t="s">
        <v>190</v>
      </c>
      <c r="B14" s="107"/>
      <c r="C14" s="164" t="s">
        <v>193</v>
      </c>
      <c r="D14" s="164" t="s">
        <v>193</v>
      </c>
      <c r="E14" s="119">
        <v>6.4340000000000002</v>
      </c>
      <c r="F14" s="119">
        <v>9.1460000000000008</v>
      </c>
      <c r="G14" s="146" t="s">
        <v>193</v>
      </c>
      <c r="H14" s="93">
        <v>0</v>
      </c>
      <c r="I14" s="214">
        <v>0</v>
      </c>
      <c r="K14" s="191" t="s">
        <v>35</v>
      </c>
      <c r="L14" s="192"/>
      <c r="M14" s="200">
        <f>M62-M45-M12</f>
        <v>2216.6680000000001</v>
      </c>
      <c r="N14" s="200">
        <f>N62-N45-N12</f>
        <v>2810.8650000000002</v>
      </c>
      <c r="O14" s="200">
        <f>O62-O45-O12</f>
        <v>3952.7060000000001</v>
      </c>
      <c r="P14" s="200">
        <f>P62-P45-P12</f>
        <v>4190.7720000000008</v>
      </c>
      <c r="Q14" s="200">
        <f>Q62-Q45-Q12</f>
        <v>4777.5000000000009</v>
      </c>
      <c r="R14" s="200">
        <f>R62-R45-R12</f>
        <v>4997.1910000000007</v>
      </c>
      <c r="S14" s="201">
        <f>S62-S45-S12</f>
        <v>4271.1840000000011</v>
      </c>
      <c r="T14" s="132"/>
    </row>
    <row r="15" spans="1:20">
      <c r="A15" s="131" t="s">
        <v>164</v>
      </c>
      <c r="B15" s="107"/>
      <c r="C15" s="164" t="s">
        <v>193</v>
      </c>
      <c r="D15" s="164" t="s">
        <v>193</v>
      </c>
      <c r="E15" s="119">
        <v>22.334</v>
      </c>
      <c r="F15" s="146" t="s">
        <v>193</v>
      </c>
      <c r="G15" s="146" t="s">
        <v>193</v>
      </c>
      <c r="H15" s="93">
        <v>0</v>
      </c>
      <c r="I15" s="214">
        <v>0</v>
      </c>
      <c r="K15" s="142"/>
      <c r="L15" s="92"/>
      <c r="M15" s="116"/>
      <c r="N15" s="120"/>
      <c r="O15" s="120"/>
      <c r="P15" s="120"/>
      <c r="Q15" s="120"/>
      <c r="R15" s="120"/>
      <c r="S15" s="157"/>
    </row>
    <row r="16" spans="1:20">
      <c r="A16" s="131" t="s">
        <v>58</v>
      </c>
      <c r="B16" s="107">
        <v>279.67399999999998</v>
      </c>
      <c r="C16" s="107">
        <v>308.40499999999997</v>
      </c>
      <c r="D16" s="119">
        <v>398.303</v>
      </c>
      <c r="E16" s="119">
        <v>531.779</v>
      </c>
      <c r="F16" s="119">
        <v>500.315</v>
      </c>
      <c r="G16" s="92">
        <v>582.15699999999993</v>
      </c>
      <c r="H16" s="93">
        <v>629.673</v>
      </c>
      <c r="I16" s="214">
        <v>579.10299999999995</v>
      </c>
      <c r="K16" s="191" t="s">
        <v>201</v>
      </c>
      <c r="L16" s="192"/>
      <c r="M16" s="196">
        <f t="shared" ref="M16:S16" si="5">SUM(M17:M32)</f>
        <v>2035.6849999999999</v>
      </c>
      <c r="N16" s="196">
        <f t="shared" si="5"/>
        <v>2023.769</v>
      </c>
      <c r="O16" s="196">
        <f t="shared" si="5"/>
        <v>2556.38</v>
      </c>
      <c r="P16" s="196">
        <f t="shared" si="5"/>
        <v>3296.614</v>
      </c>
      <c r="Q16" s="196">
        <f t="shared" si="5"/>
        <v>3774.5</v>
      </c>
      <c r="R16" s="196">
        <f t="shared" si="5"/>
        <v>3928.2260000000001</v>
      </c>
      <c r="S16" s="206">
        <f t="shared" si="5"/>
        <v>3828.3260000000005</v>
      </c>
    </row>
    <row r="17" spans="1:19">
      <c r="A17" s="131" t="s">
        <v>60</v>
      </c>
      <c r="B17" s="107">
        <v>427.18299999999999</v>
      </c>
      <c r="C17" s="107">
        <v>530.04899999999998</v>
      </c>
      <c r="D17" s="119">
        <v>900.18499999999995</v>
      </c>
      <c r="E17" s="119">
        <v>843.52300000000002</v>
      </c>
      <c r="F17" s="119">
        <v>886.52700000000004</v>
      </c>
      <c r="G17" s="92">
        <v>953.57600000000002</v>
      </c>
      <c r="H17" s="93">
        <v>1188.135</v>
      </c>
      <c r="I17" s="214">
        <v>1205.3989999999999</v>
      </c>
      <c r="K17" s="131" t="s">
        <v>174</v>
      </c>
      <c r="L17" s="93"/>
      <c r="M17" s="107">
        <v>843.49900000000002</v>
      </c>
      <c r="N17" s="121">
        <v>906.37099999999998</v>
      </c>
      <c r="O17" s="121">
        <v>973.03200000000004</v>
      </c>
      <c r="P17" s="121">
        <v>1040.0350000000001</v>
      </c>
      <c r="Q17" s="121">
        <v>1537.9</v>
      </c>
      <c r="R17" s="121">
        <v>1934.7380000000001</v>
      </c>
      <c r="S17" s="158">
        <v>2048.4949999999999</v>
      </c>
    </row>
    <row r="18" spans="1:19">
      <c r="A18" s="175" t="s">
        <v>3</v>
      </c>
      <c r="B18" s="176">
        <f t="shared" ref="B18:F18" si="6">(B5-B8)</f>
        <v>201.99300000000017</v>
      </c>
      <c r="C18" s="176">
        <f t="shared" si="6"/>
        <v>119.63300000000004</v>
      </c>
      <c r="D18" s="176">
        <f t="shared" si="6"/>
        <v>930.1579999999999</v>
      </c>
      <c r="E18" s="176">
        <f t="shared" si="6"/>
        <v>1488.8210000000004</v>
      </c>
      <c r="F18" s="176">
        <f t="shared" si="6"/>
        <v>652.3720000000003</v>
      </c>
      <c r="G18" s="176">
        <f>(G5-G8)</f>
        <v>816.63099999999986</v>
      </c>
      <c r="H18" s="177">
        <f>(H5-H8)</f>
        <v>614.53099999999995</v>
      </c>
      <c r="I18" s="215">
        <f>(I5-I8)</f>
        <v>179.39199999999983</v>
      </c>
      <c r="K18" s="131" t="s">
        <v>167</v>
      </c>
      <c r="L18" s="93"/>
      <c r="M18" s="107"/>
      <c r="N18" s="121"/>
      <c r="O18" s="121"/>
      <c r="P18" s="121">
        <v>142.846</v>
      </c>
      <c r="Q18" s="121">
        <v>129.30000000000001</v>
      </c>
      <c r="R18" s="121">
        <v>139.59700000000001</v>
      </c>
      <c r="S18" s="158">
        <v>117.145</v>
      </c>
    </row>
    <row r="19" spans="1:19">
      <c r="A19" s="181" t="s">
        <v>1</v>
      </c>
      <c r="B19" s="182"/>
      <c r="C19" s="182"/>
      <c r="D19" s="182">
        <f>(D18/C18-1)</f>
        <v>6.7750955004054036</v>
      </c>
      <c r="E19" s="182">
        <f>(E18/D18-1)</f>
        <v>0.60061086396074703</v>
      </c>
      <c r="F19" s="182">
        <f>(F18/E18-1)</f>
        <v>-0.56181972177985129</v>
      </c>
      <c r="G19" s="182">
        <f>(G18/F18-1)</f>
        <v>0.25178732379685131</v>
      </c>
      <c r="H19" s="182">
        <f>(H18/G18-1)</f>
        <v>-0.24748019607386929</v>
      </c>
      <c r="I19" s="344">
        <f>(I18/H18-1)</f>
        <v>-0.70808307473504217</v>
      </c>
      <c r="K19" s="131" t="s">
        <v>104</v>
      </c>
      <c r="L19" s="93"/>
      <c r="M19" s="107">
        <v>41.332999999999998</v>
      </c>
      <c r="N19" s="121">
        <v>41.279000000000003</v>
      </c>
      <c r="O19" s="121">
        <v>41.279000000000003</v>
      </c>
      <c r="P19" s="121">
        <v>41.279000000000003</v>
      </c>
      <c r="Q19" s="121">
        <v>107.1</v>
      </c>
      <c r="R19" s="121">
        <v>109.545</v>
      </c>
      <c r="S19" s="158">
        <v>115.304</v>
      </c>
    </row>
    <row r="20" spans="1:19">
      <c r="A20" s="181" t="s">
        <v>82</v>
      </c>
      <c r="B20" s="182"/>
      <c r="C20" s="182"/>
      <c r="D20" s="182"/>
      <c r="E20" s="182">
        <f>(E18/B18)^(1/3)-1</f>
        <v>0.94611599538463587</v>
      </c>
      <c r="F20" s="182">
        <f>(F18/C18)^(1/3)-1</f>
        <v>0.76014362246435718</v>
      </c>
      <c r="G20" s="182">
        <f>(G18/D18)^(1/3)-1</f>
        <v>-4.2461204493214888E-2</v>
      </c>
      <c r="H20" s="182">
        <f>(H18/E18)^(1/3)-1</f>
        <v>-0.25543873870989209</v>
      </c>
      <c r="I20" s="344">
        <f>(I18/F18)^(1/3)-1</f>
        <v>-0.34971672192597369</v>
      </c>
      <c r="K20" s="131" t="s">
        <v>85</v>
      </c>
      <c r="L20" s="93"/>
      <c r="M20" s="107">
        <v>40.618000000000002</v>
      </c>
      <c r="N20" s="121">
        <v>25.007999999999999</v>
      </c>
      <c r="O20" s="121">
        <v>207.21600000000001</v>
      </c>
      <c r="P20" s="121">
        <v>670.75099999999998</v>
      </c>
      <c r="Q20" s="121">
        <v>527</v>
      </c>
      <c r="R20" s="121">
        <v>298.93400000000003</v>
      </c>
      <c r="S20" s="158">
        <v>419.02499999999998</v>
      </c>
    </row>
    <row r="21" spans="1:19">
      <c r="A21" s="129" t="s">
        <v>4</v>
      </c>
      <c r="B21" s="165">
        <f t="shared" ref="B21:F21" si="7">(B18/B5)</f>
        <v>0.13048323103179649</v>
      </c>
      <c r="C21" s="165">
        <f t="shared" si="7"/>
        <v>7.2203649865440131E-2</v>
      </c>
      <c r="D21" s="165">
        <f t="shared" si="7"/>
        <v>0.30700735834347165</v>
      </c>
      <c r="E21" s="165">
        <f t="shared" si="7"/>
        <v>0.36790953823160782</v>
      </c>
      <c r="F21" s="165">
        <f t="shared" si="7"/>
        <v>0.22269116966354585</v>
      </c>
      <c r="G21" s="165">
        <f>(G18/G5)</f>
        <v>0.216447188466766</v>
      </c>
      <c r="H21" s="165">
        <f>(H18/H5)</f>
        <v>0.15420496607787346</v>
      </c>
      <c r="I21" s="227">
        <f>(I18/I5)</f>
        <v>5.1263073881270639E-2</v>
      </c>
      <c r="K21" s="131" t="s">
        <v>121</v>
      </c>
      <c r="L21" s="93"/>
      <c r="M21" s="107">
        <v>818.26800000000003</v>
      </c>
      <c r="N21" s="121">
        <v>804.95299999999997</v>
      </c>
      <c r="O21" s="121">
        <v>738.28099999999995</v>
      </c>
      <c r="P21" s="121">
        <v>712.61699999999996</v>
      </c>
      <c r="Q21" s="121">
        <v>687</v>
      </c>
      <c r="R21" s="121">
        <v>672.76300000000003</v>
      </c>
      <c r="S21" s="158">
        <v>287.08499999999998</v>
      </c>
    </row>
    <row r="22" spans="1:19">
      <c r="A22" s="131" t="s">
        <v>87</v>
      </c>
      <c r="B22" s="107">
        <v>83.5</v>
      </c>
      <c r="C22" s="107">
        <v>103.11</v>
      </c>
      <c r="D22" s="119">
        <v>123.631</v>
      </c>
      <c r="E22" s="119">
        <v>118.875</v>
      </c>
      <c r="F22" s="119">
        <v>149.99700000000001</v>
      </c>
      <c r="G22" s="92">
        <v>203.084</v>
      </c>
      <c r="H22" s="93">
        <v>255.61600000000001</v>
      </c>
      <c r="I22" s="214">
        <v>282.47500000000002</v>
      </c>
      <c r="J22" s="132"/>
      <c r="K22" s="131" t="s">
        <v>156</v>
      </c>
      <c r="L22" s="93"/>
      <c r="M22" s="116">
        <v>13.279</v>
      </c>
      <c r="N22" s="121">
        <v>21.103999999999999</v>
      </c>
      <c r="O22" s="121">
        <v>23.02</v>
      </c>
      <c r="P22" s="121">
        <v>64.756</v>
      </c>
      <c r="Q22" s="121">
        <v>168</v>
      </c>
      <c r="R22" s="161">
        <v>129.23599999999999</v>
      </c>
      <c r="S22" s="159">
        <v>101.523</v>
      </c>
    </row>
    <row r="23" spans="1:19">
      <c r="A23" s="131" t="s">
        <v>88</v>
      </c>
      <c r="B23" s="107">
        <v>61.469000000000001</v>
      </c>
      <c r="C23" s="107">
        <v>99.634</v>
      </c>
      <c r="D23" s="119">
        <v>136.33799999999999</v>
      </c>
      <c r="E23" s="119">
        <v>206.53100000000001</v>
      </c>
      <c r="F23" s="119">
        <v>191.404</v>
      </c>
      <c r="G23" s="92">
        <v>179.74600000000001</v>
      </c>
      <c r="H23" s="93">
        <v>170.84299999999999</v>
      </c>
      <c r="I23" s="214">
        <v>207.82300000000001</v>
      </c>
      <c r="K23" s="131" t="s">
        <v>157</v>
      </c>
      <c r="L23" s="93"/>
      <c r="M23" s="116">
        <v>14.252000000000001</v>
      </c>
      <c r="N23" s="121">
        <v>9.9499999999999993</v>
      </c>
      <c r="O23" s="121">
        <v>8.5990000000000002</v>
      </c>
      <c r="P23" s="121">
        <v>36.938000000000002</v>
      </c>
      <c r="Q23" s="121">
        <v>42.1</v>
      </c>
      <c r="R23" s="161">
        <v>46.716000000000001</v>
      </c>
      <c r="S23" s="159">
        <v>31.196000000000002</v>
      </c>
    </row>
    <row r="24" spans="1:19">
      <c r="A24" s="131" t="s">
        <v>5</v>
      </c>
      <c r="B24" s="107">
        <v>12.584</v>
      </c>
      <c r="C24" s="107">
        <v>27.826000000000001</v>
      </c>
      <c r="D24" s="119">
        <v>89.483999999999995</v>
      </c>
      <c r="E24" s="119">
        <v>123.652</v>
      </c>
      <c r="F24" s="119">
        <v>123.23</v>
      </c>
      <c r="G24" s="92">
        <v>82.504999999999995</v>
      </c>
      <c r="H24" s="93">
        <v>81.358999999999995</v>
      </c>
      <c r="I24" s="214">
        <v>76.938000000000002</v>
      </c>
      <c r="K24" s="131" t="s">
        <v>177</v>
      </c>
      <c r="L24" s="93"/>
      <c r="M24" s="116">
        <f>25.282+52.982</f>
        <v>78.263999999999996</v>
      </c>
      <c r="N24" s="121">
        <v>12.048</v>
      </c>
      <c r="O24" s="121">
        <v>0</v>
      </c>
      <c r="P24" s="121">
        <v>0</v>
      </c>
      <c r="Q24" s="121">
        <v>0</v>
      </c>
      <c r="R24" s="121"/>
      <c r="S24" s="158" t="s">
        <v>193</v>
      </c>
    </row>
    <row r="25" spans="1:19">
      <c r="A25" s="131" t="s">
        <v>90</v>
      </c>
      <c r="B25" s="107"/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93">
        <v>0</v>
      </c>
      <c r="I25" s="214">
        <v>-284.76799999999997</v>
      </c>
      <c r="J25" s="147"/>
      <c r="K25" s="131" t="s">
        <v>86</v>
      </c>
      <c r="L25" s="93"/>
      <c r="M25" s="107"/>
      <c r="N25" s="121"/>
      <c r="O25" s="121"/>
      <c r="P25" s="121"/>
      <c r="Q25" s="121"/>
      <c r="R25" s="121"/>
      <c r="S25" s="158"/>
    </row>
    <row r="26" spans="1:19">
      <c r="A26" s="175" t="s">
        <v>6</v>
      </c>
      <c r="B26" s="178">
        <f t="shared" ref="B26:I26" si="8">(B18-B22-B23+B25+B24)</f>
        <v>69.60800000000016</v>
      </c>
      <c r="C26" s="178">
        <f t="shared" si="8"/>
        <v>-55.284999999999961</v>
      </c>
      <c r="D26" s="176">
        <f t="shared" si="8"/>
        <v>759.673</v>
      </c>
      <c r="E26" s="176">
        <f t="shared" si="8"/>
        <v>1287.0670000000005</v>
      </c>
      <c r="F26" s="176">
        <f t="shared" si="8"/>
        <v>434.20100000000031</v>
      </c>
      <c r="G26" s="176">
        <f t="shared" si="8"/>
        <v>516.30599999999981</v>
      </c>
      <c r="H26" s="177">
        <f t="shared" si="8"/>
        <v>269.43099999999998</v>
      </c>
      <c r="I26" s="216">
        <f t="shared" si="8"/>
        <v>-518.73600000000022</v>
      </c>
      <c r="K26" s="131" t="s">
        <v>118</v>
      </c>
      <c r="L26" s="93"/>
      <c r="M26" s="107">
        <v>1.056</v>
      </c>
      <c r="N26" s="121">
        <v>1.169</v>
      </c>
      <c r="O26" s="121">
        <v>5.819</v>
      </c>
      <c r="P26" s="121">
        <v>2.56</v>
      </c>
      <c r="Q26" s="121">
        <v>2.5</v>
      </c>
      <c r="R26" s="161">
        <v>2.871</v>
      </c>
      <c r="S26" s="159">
        <v>3.4809999999999999</v>
      </c>
    </row>
    <row r="27" spans="1:19">
      <c r="A27" s="131" t="s">
        <v>7</v>
      </c>
      <c r="B27" s="107">
        <v>42.481999999999999</v>
      </c>
      <c r="C27" s="107">
        <v>27.010999999999999</v>
      </c>
      <c r="D27" s="119">
        <f>211.323</f>
        <v>211.32300000000001</v>
      </c>
      <c r="E27" s="119">
        <v>108.035</v>
      </c>
      <c r="F27" s="119">
        <v>-161.001</v>
      </c>
      <c r="G27" s="92">
        <v>91.001999999999995</v>
      </c>
      <c r="H27" s="93">
        <v>118.825</v>
      </c>
      <c r="I27" s="214">
        <v>16.806000000000001</v>
      </c>
      <c r="K27" s="131" t="s">
        <v>158</v>
      </c>
      <c r="L27" s="93"/>
      <c r="M27" s="107">
        <v>6.1859999999999999</v>
      </c>
      <c r="N27" s="121">
        <v>3.81</v>
      </c>
      <c r="O27" s="121">
        <v>2.532</v>
      </c>
      <c r="P27" s="121">
        <v>2.5</v>
      </c>
      <c r="Q27" s="121">
        <v>0.2</v>
      </c>
      <c r="R27" s="161">
        <v>8.5000000000000006E-2</v>
      </c>
      <c r="S27" s="159">
        <v>1.75</v>
      </c>
    </row>
    <row r="28" spans="1:19">
      <c r="A28" s="181" t="s">
        <v>8</v>
      </c>
      <c r="B28" s="182">
        <f>(B27/B26)</f>
        <v>0.61030341340075711</v>
      </c>
      <c r="C28" s="182"/>
      <c r="D28" s="182">
        <f t="shared" ref="D28:H28" si="9">(D27/D26)</f>
        <v>0.27817626794686662</v>
      </c>
      <c r="E28" s="182">
        <f t="shared" si="9"/>
        <v>8.3938909163236999E-2</v>
      </c>
      <c r="F28" s="182">
        <f t="shared" si="9"/>
        <v>-0.37079831690852827</v>
      </c>
      <c r="G28" s="182">
        <f t="shared" si="9"/>
        <v>0.17625594124414598</v>
      </c>
      <c r="H28" s="182">
        <f t="shared" si="9"/>
        <v>0.4410220056340956</v>
      </c>
      <c r="I28" s="344">
        <f>(I27/I26)</f>
        <v>-3.2397982788933084E-2</v>
      </c>
      <c r="K28" s="131" t="s">
        <v>160</v>
      </c>
      <c r="L28" s="93"/>
      <c r="M28" s="107">
        <v>90.686000000000007</v>
      </c>
      <c r="N28" s="121">
        <v>79.081999999999994</v>
      </c>
      <c r="O28" s="121">
        <v>59.7</v>
      </c>
      <c r="P28" s="121">
        <v>0</v>
      </c>
      <c r="Q28" s="121">
        <v>0</v>
      </c>
      <c r="R28" s="121">
        <v>0</v>
      </c>
      <c r="S28" s="158" t="s">
        <v>193</v>
      </c>
    </row>
    <row r="29" spans="1:19">
      <c r="A29" s="131" t="s">
        <v>10</v>
      </c>
      <c r="B29" s="107">
        <f>32.981+5.487</f>
        <v>38.468000000000004</v>
      </c>
      <c r="C29" s="107"/>
      <c r="D29" s="116">
        <v>1.2999999999999999E-2</v>
      </c>
      <c r="E29" s="116">
        <v>-0.216</v>
      </c>
      <c r="F29" s="116">
        <v>5.8000000000000003E-2</v>
      </c>
      <c r="G29" s="116">
        <v>1E-3</v>
      </c>
      <c r="H29" s="93">
        <v>0</v>
      </c>
      <c r="I29" s="214">
        <v>0</v>
      </c>
      <c r="K29" s="131" t="s">
        <v>159</v>
      </c>
      <c r="L29" s="93"/>
      <c r="M29" s="107">
        <v>8.7870000000000008</v>
      </c>
      <c r="N29" s="121">
        <v>47.997</v>
      </c>
      <c r="O29" s="121">
        <v>46.274999999999999</v>
      </c>
      <c r="P29" s="121">
        <v>40.567999999999998</v>
      </c>
      <c r="Q29" s="121">
        <v>21.9</v>
      </c>
      <c r="R29" s="161">
        <v>66.915999999999997</v>
      </c>
      <c r="S29" s="159">
        <v>210.42599999999999</v>
      </c>
    </row>
    <row r="30" spans="1:19">
      <c r="A30" s="131" t="s">
        <v>93</v>
      </c>
      <c r="B30" s="107"/>
      <c r="C30" s="107"/>
      <c r="D30" s="116">
        <v>-24.838000000000001</v>
      </c>
      <c r="E30" s="116">
        <v>0</v>
      </c>
      <c r="F30" s="116"/>
      <c r="G30" s="116"/>
      <c r="H30" s="93">
        <v>0</v>
      </c>
      <c r="I30" s="214">
        <v>0</v>
      </c>
      <c r="K30" s="131" t="s">
        <v>166</v>
      </c>
      <c r="L30" s="93"/>
      <c r="M30" s="107">
        <v>6.9</v>
      </c>
      <c r="N30" s="121">
        <v>0</v>
      </c>
      <c r="O30" s="121">
        <v>193.17</v>
      </c>
      <c r="P30" s="121">
        <v>381.05099999999999</v>
      </c>
      <c r="Q30" s="121">
        <v>403.1</v>
      </c>
      <c r="R30" s="161">
        <v>359.94299999999998</v>
      </c>
      <c r="S30" s="159">
        <v>332.58</v>
      </c>
    </row>
    <row r="31" spans="1:19">
      <c r="A31" s="131" t="s">
        <v>155</v>
      </c>
      <c r="B31" s="107"/>
      <c r="C31" s="107">
        <v>-3.9</v>
      </c>
      <c r="D31" s="116">
        <v>-60.106000000000002</v>
      </c>
      <c r="E31" s="116">
        <v>-4.2779999999999996</v>
      </c>
      <c r="F31" s="116"/>
      <c r="G31" s="116"/>
      <c r="H31" s="93">
        <v>0</v>
      </c>
      <c r="I31" s="214">
        <v>0</v>
      </c>
      <c r="K31" s="131" t="s">
        <v>107</v>
      </c>
      <c r="L31" s="93"/>
      <c r="M31" s="107">
        <v>3.8769999999999998</v>
      </c>
      <c r="N31" s="121">
        <v>10.699</v>
      </c>
      <c r="O31" s="121">
        <v>33.317999999999998</v>
      </c>
      <c r="P31" s="121">
        <v>90.825000000000003</v>
      </c>
      <c r="Q31" s="121">
        <v>113.1</v>
      </c>
      <c r="R31" s="161">
        <v>131.851</v>
      </c>
      <c r="S31" s="159">
        <v>96.679000000000002</v>
      </c>
    </row>
    <row r="32" spans="1:19">
      <c r="A32" s="131" t="s">
        <v>194</v>
      </c>
      <c r="B32" s="107"/>
      <c r="C32" s="166">
        <v>0</v>
      </c>
      <c r="D32" s="166">
        <v>0</v>
      </c>
      <c r="E32" s="166">
        <v>0</v>
      </c>
      <c r="F32" s="166">
        <v>0</v>
      </c>
      <c r="G32" s="92">
        <v>29.762</v>
      </c>
      <c r="H32" s="93">
        <v>3.8650000000000002</v>
      </c>
      <c r="I32" s="214">
        <v>20.565000000000001</v>
      </c>
      <c r="K32" s="131" t="s">
        <v>91</v>
      </c>
      <c r="L32" s="93"/>
      <c r="M32" s="107">
        <v>68.680000000000007</v>
      </c>
      <c r="N32" s="121">
        <v>60.298999999999999</v>
      </c>
      <c r="O32" s="121">
        <v>224.13900000000001</v>
      </c>
      <c r="P32" s="121">
        <v>69.888000000000005</v>
      </c>
      <c r="Q32" s="121">
        <v>35.299999999999997</v>
      </c>
      <c r="R32" s="121">
        <v>35.030999999999999</v>
      </c>
      <c r="S32" s="158">
        <v>63.637</v>
      </c>
    </row>
    <row r="33" spans="1:19">
      <c r="A33" s="175" t="s">
        <v>9</v>
      </c>
      <c r="B33" s="177"/>
      <c r="C33" s="179">
        <f>C26-C27-C29+C30+C31</f>
        <v>-86.19599999999997</v>
      </c>
      <c r="D33" s="179">
        <f>D26-D27+D29+D30+D31</f>
        <v>463.4190000000001</v>
      </c>
      <c r="E33" s="179">
        <f>E26-E27+E29+E30+E31</f>
        <v>1174.5380000000005</v>
      </c>
      <c r="F33" s="179">
        <f>F26-F27+F29+F30+F31</f>
        <v>595.26000000000033</v>
      </c>
      <c r="G33" s="179">
        <f>G26-G27+G29+G30+G31+G32</f>
        <v>455.06699999999978</v>
      </c>
      <c r="H33" s="177">
        <f>H26-H27+H29+H30+H31+H32</f>
        <v>154.471</v>
      </c>
      <c r="I33" s="215">
        <f>I26-I27+I29+I30+I31+I32</f>
        <v>-514.9770000000002</v>
      </c>
      <c r="K33" s="197" t="s">
        <v>36</v>
      </c>
      <c r="L33" s="198"/>
      <c r="M33" s="199">
        <f t="shared" ref="M33:S33" si="10">SUM(M34:M44)</f>
        <v>1042.5710000000001</v>
      </c>
      <c r="N33" s="200">
        <f t="shared" si="10"/>
        <v>1822.6510000000003</v>
      </c>
      <c r="O33" s="200">
        <f t="shared" si="10"/>
        <v>2956.0910000000003</v>
      </c>
      <c r="P33" s="200">
        <f t="shared" si="10"/>
        <v>2840.1310000000003</v>
      </c>
      <c r="Q33" s="200">
        <f t="shared" si="10"/>
        <v>3096.2000000000003</v>
      </c>
      <c r="R33" s="200">
        <f t="shared" si="10"/>
        <v>3140.1990000000005</v>
      </c>
      <c r="S33" s="201">
        <f t="shared" si="10"/>
        <v>2529.7450000000003</v>
      </c>
    </row>
    <row r="34" spans="1:19">
      <c r="A34" s="129" t="s">
        <v>191</v>
      </c>
      <c r="B34" s="122"/>
      <c r="C34" s="167" t="s">
        <v>122</v>
      </c>
      <c r="D34" s="168">
        <f t="shared" ref="D34:I34" si="11">D33/D5</f>
        <v>0.15295578062670356</v>
      </c>
      <c r="E34" s="168">
        <f t="shared" si="11"/>
        <v>0.290245592462409</v>
      </c>
      <c r="F34" s="168">
        <f t="shared" si="11"/>
        <v>0.20319563938047971</v>
      </c>
      <c r="G34" s="168">
        <f t="shared" si="11"/>
        <v>0.12061503018377429</v>
      </c>
      <c r="H34" s="168">
        <f t="shared" si="11"/>
        <v>3.8761584549868423E-2</v>
      </c>
      <c r="I34" s="169">
        <f t="shared" si="11"/>
        <v>-0.14715987333969824</v>
      </c>
      <c r="K34" s="131" t="s">
        <v>37</v>
      </c>
      <c r="L34" s="107">
        <v>279.67399999999998</v>
      </c>
      <c r="M34" s="107">
        <v>389.13799999999998</v>
      </c>
      <c r="N34" s="121">
        <v>511.78800000000001</v>
      </c>
      <c r="O34" s="121">
        <v>876.65300000000002</v>
      </c>
      <c r="P34" s="121">
        <v>1285.819</v>
      </c>
      <c r="Q34" s="121">
        <v>1622.7</v>
      </c>
      <c r="R34" s="121">
        <v>1594.7650000000001</v>
      </c>
      <c r="S34" s="158">
        <v>1301.3979999999999</v>
      </c>
    </row>
    <row r="35" spans="1:19">
      <c r="A35" s="131" t="s">
        <v>61</v>
      </c>
      <c r="B35" s="107">
        <v>0</v>
      </c>
      <c r="C35" s="107"/>
      <c r="D35" s="116">
        <f>0.269</f>
        <v>0.26900000000000002</v>
      </c>
      <c r="E35" s="107">
        <v>-14.861000000000001</v>
      </c>
      <c r="F35" s="116">
        <v>17.356999999999999</v>
      </c>
      <c r="G35" s="92">
        <v>-2.7239999999999998</v>
      </c>
      <c r="H35" s="93">
        <v>6.13</v>
      </c>
      <c r="I35" s="214">
        <v>-14.747999999999999</v>
      </c>
      <c r="J35" s="128"/>
      <c r="K35" s="131" t="s">
        <v>86</v>
      </c>
      <c r="L35" s="93"/>
      <c r="M35" s="107"/>
      <c r="N35" s="121"/>
      <c r="O35" s="121"/>
      <c r="P35" s="121"/>
      <c r="Q35" s="121"/>
      <c r="R35" s="121"/>
      <c r="S35" s="158"/>
    </row>
    <row r="36" spans="1:19">
      <c r="A36" s="129" t="s">
        <v>94</v>
      </c>
      <c r="B36" s="170"/>
      <c r="C36" s="126">
        <f t="shared" ref="C36:E36" si="12">C33+C35</f>
        <v>-86.19599999999997</v>
      </c>
      <c r="D36" s="126">
        <f t="shared" si="12"/>
        <v>463.6880000000001</v>
      </c>
      <c r="E36" s="126">
        <f t="shared" si="12"/>
        <v>1159.6770000000004</v>
      </c>
      <c r="F36" s="126">
        <f>F33+F35</f>
        <v>612.6170000000003</v>
      </c>
      <c r="G36" s="126">
        <f>G33+G35-G32</f>
        <v>422.58099999999979</v>
      </c>
      <c r="H36" s="122">
        <f>H33+H35-H32</f>
        <v>156.73599999999999</v>
      </c>
      <c r="I36" s="217">
        <f>I33+I35-I32</f>
        <v>-550.2900000000003</v>
      </c>
      <c r="J36" s="128"/>
      <c r="K36" s="131" t="s">
        <v>112</v>
      </c>
      <c r="L36" s="93"/>
      <c r="M36" s="107">
        <v>10.045</v>
      </c>
      <c r="N36" s="121">
        <v>10.589</v>
      </c>
      <c r="O36" s="121">
        <v>11.478999999999999</v>
      </c>
      <c r="P36" s="300">
        <v>0</v>
      </c>
      <c r="Q36" s="300" t="s">
        <v>193</v>
      </c>
      <c r="R36" s="300" t="s">
        <v>193</v>
      </c>
      <c r="S36" s="158">
        <v>27.806999999999999</v>
      </c>
    </row>
    <row r="37" spans="1:19">
      <c r="A37" s="181" t="s">
        <v>1</v>
      </c>
      <c r="B37" s="183"/>
      <c r="C37" s="184" t="s">
        <v>122</v>
      </c>
      <c r="D37" s="182"/>
      <c r="E37" s="182">
        <f>(E36/D36-1)</f>
        <v>1.500985576508342</v>
      </c>
      <c r="F37" s="182">
        <f>(F36/E36-1)</f>
        <v>-0.4717348020181481</v>
      </c>
      <c r="G37" s="182">
        <f>(G36/F36-1)</f>
        <v>-0.3102036019242046</v>
      </c>
      <c r="H37" s="182">
        <f>(H36/G36-1)</f>
        <v>-0.62909832671132859</v>
      </c>
      <c r="I37" s="182">
        <f>(I36/H36-1)</f>
        <v>-4.5109355859534528</v>
      </c>
      <c r="J37" s="128"/>
      <c r="K37" s="131" t="s">
        <v>113</v>
      </c>
      <c r="L37" s="107">
        <v>430.05599999999998</v>
      </c>
      <c r="M37" s="107">
        <v>445.71</v>
      </c>
      <c r="N37" s="121">
        <v>687.19299999999998</v>
      </c>
      <c r="O37" s="121">
        <v>655.44</v>
      </c>
      <c r="P37" s="121">
        <v>697.74199999999996</v>
      </c>
      <c r="Q37" s="121">
        <v>680.1</v>
      </c>
      <c r="R37" s="121">
        <v>870.90099999999995</v>
      </c>
      <c r="S37" s="158">
        <v>416.49400000000003</v>
      </c>
    </row>
    <row r="38" spans="1:19">
      <c r="A38" s="162"/>
      <c r="B38" s="171"/>
      <c r="C38" s="171"/>
      <c r="D38" s="163"/>
      <c r="E38" s="163"/>
      <c r="F38" s="163"/>
      <c r="G38" s="163"/>
      <c r="H38" s="171"/>
      <c r="I38" s="218"/>
      <c r="J38" s="128"/>
      <c r="K38" s="131" t="s">
        <v>92</v>
      </c>
      <c r="L38" s="93"/>
      <c r="M38" s="107">
        <v>22.356000000000002</v>
      </c>
      <c r="N38" s="121">
        <v>324.36900000000003</v>
      </c>
      <c r="O38" s="121">
        <v>407.65</v>
      </c>
      <c r="P38" s="121">
        <v>75.144999999999996</v>
      </c>
      <c r="Q38" s="121">
        <v>167.9</v>
      </c>
      <c r="R38" s="121">
        <v>130.56100000000001</v>
      </c>
      <c r="S38" s="158">
        <v>352.416</v>
      </c>
    </row>
    <row r="39" spans="1:19">
      <c r="A39" s="129" t="s">
        <v>11</v>
      </c>
      <c r="B39" s="122">
        <v>0</v>
      </c>
      <c r="C39" s="122">
        <v>-49.82</v>
      </c>
      <c r="D39" s="123">
        <v>36.75</v>
      </c>
      <c r="E39" s="148">
        <v>40.700000000000003</v>
      </c>
      <c r="F39" s="123">
        <v>20.53</v>
      </c>
      <c r="G39" s="92">
        <v>15.69</v>
      </c>
      <c r="H39" s="122">
        <v>5.35</v>
      </c>
      <c r="I39" s="217">
        <v>-17.850000000000001</v>
      </c>
      <c r="K39" s="131" t="s">
        <v>123</v>
      </c>
      <c r="L39" s="93"/>
      <c r="M39" s="107">
        <v>2.5</v>
      </c>
      <c r="N39" s="121">
        <v>2.226</v>
      </c>
      <c r="O39" s="121">
        <v>503.69200000000001</v>
      </c>
      <c r="P39" s="121">
        <v>255.95400000000001</v>
      </c>
      <c r="Q39" s="121">
        <v>277.39999999999998</v>
      </c>
      <c r="R39" s="121">
        <v>205.53100000000001</v>
      </c>
      <c r="S39" s="158">
        <v>230.375</v>
      </c>
    </row>
    <row r="40" spans="1:19">
      <c r="A40" s="131" t="s">
        <v>1</v>
      </c>
      <c r="B40" s="93"/>
      <c r="C40" s="93"/>
      <c r="D40" s="163"/>
      <c r="E40" s="163">
        <f>(E39/D39-1)</f>
        <v>0.10748299319727894</v>
      </c>
      <c r="F40" s="163">
        <f>(F39/E39-1)</f>
        <v>-0.49557739557739555</v>
      </c>
      <c r="G40" s="163">
        <f>(G39/F39-1)</f>
        <v>-0.23575255723331712</v>
      </c>
      <c r="H40" s="163">
        <f>(H39/G39-1)</f>
        <v>-0.65901848311026134</v>
      </c>
      <c r="I40" s="288">
        <f>(I39/H39-1)</f>
        <v>-4.3364485981308416</v>
      </c>
      <c r="K40" s="131" t="s">
        <v>124</v>
      </c>
      <c r="L40" s="93"/>
      <c r="M40" s="107">
        <v>1.5429999999999999</v>
      </c>
      <c r="N40" s="121">
        <v>0.93899999999999995</v>
      </c>
      <c r="O40" s="121">
        <v>118.026</v>
      </c>
      <c r="P40" s="121">
        <v>213</v>
      </c>
      <c r="Q40" s="121">
        <v>47.7</v>
      </c>
      <c r="R40" s="121">
        <v>0.15</v>
      </c>
      <c r="S40" s="158">
        <v>10.25</v>
      </c>
    </row>
    <row r="41" spans="1:19" ht="15" thickBot="1">
      <c r="A41" s="172"/>
      <c r="B41" s="173"/>
      <c r="C41" s="173"/>
      <c r="D41" s="174"/>
      <c r="E41" s="174"/>
      <c r="F41" s="174"/>
      <c r="G41" s="174"/>
      <c r="H41" s="173"/>
      <c r="I41" s="219"/>
      <c r="K41" s="131" t="s">
        <v>125</v>
      </c>
      <c r="L41" s="93"/>
      <c r="M41" s="107">
        <v>36.460999999999999</v>
      </c>
      <c r="N41" s="120">
        <v>9.0220000000000002</v>
      </c>
      <c r="O41" s="120">
        <v>25.821999999999999</v>
      </c>
      <c r="P41" s="120">
        <v>63.726999999999997</v>
      </c>
      <c r="Q41" s="120">
        <v>34.799999999999997</v>
      </c>
      <c r="R41" s="120">
        <v>2.7709999999999999</v>
      </c>
      <c r="S41" s="157">
        <v>3.367</v>
      </c>
    </row>
    <row r="42" spans="1:19">
      <c r="A42" s="145" t="s">
        <v>195</v>
      </c>
      <c r="K42" s="131" t="s">
        <v>119</v>
      </c>
      <c r="L42" s="93"/>
      <c r="M42" s="107"/>
      <c r="N42" s="120">
        <v>0</v>
      </c>
      <c r="O42" s="120">
        <v>0</v>
      </c>
      <c r="P42" s="120">
        <v>0</v>
      </c>
      <c r="Q42" s="120">
        <v>0</v>
      </c>
      <c r="R42" s="120">
        <v>0</v>
      </c>
      <c r="S42" s="157">
        <v>0</v>
      </c>
    </row>
    <row r="43" spans="1:19">
      <c r="A43" s="145"/>
      <c r="K43" s="131" t="s">
        <v>203</v>
      </c>
      <c r="L43" s="93"/>
      <c r="M43" s="161">
        <v>0</v>
      </c>
      <c r="N43" s="120">
        <v>0</v>
      </c>
      <c r="O43" s="120">
        <v>0</v>
      </c>
      <c r="P43" s="120">
        <v>0</v>
      </c>
      <c r="Q43" s="120">
        <v>0</v>
      </c>
      <c r="R43" s="120">
        <v>0</v>
      </c>
      <c r="S43" s="157">
        <v>32.198</v>
      </c>
    </row>
    <row r="44" spans="1:19">
      <c r="K44" s="131" t="s">
        <v>59</v>
      </c>
      <c r="L44" s="93"/>
      <c r="M44" s="107">
        <v>134.81800000000001</v>
      </c>
      <c r="N44" s="120">
        <v>276.52499999999998</v>
      </c>
      <c r="O44" s="120">
        <v>357.32900000000001</v>
      </c>
      <c r="P44" s="120">
        <v>248.744</v>
      </c>
      <c r="Q44" s="120">
        <v>265.60000000000002</v>
      </c>
      <c r="R44" s="120">
        <v>335.52</v>
      </c>
      <c r="S44" s="157">
        <v>155.44</v>
      </c>
    </row>
    <row r="45" spans="1:19" ht="15" thickBot="1">
      <c r="A45" s="128" t="s">
        <v>12</v>
      </c>
      <c r="B45" s="128"/>
      <c r="C45" s="128"/>
      <c r="D45" s="118"/>
      <c r="E45" s="118"/>
      <c r="F45" s="118"/>
      <c r="G45" s="118"/>
      <c r="I45" s="221"/>
      <c r="K45" s="197" t="s">
        <v>38</v>
      </c>
      <c r="L45" s="198"/>
      <c r="M45" s="199">
        <f t="shared" ref="M45:R45" si="13">SUM(M46:M53)</f>
        <v>490.286</v>
      </c>
      <c r="N45" s="200">
        <f t="shared" si="13"/>
        <v>737.00400000000002</v>
      </c>
      <c r="O45" s="200">
        <f t="shared" si="13"/>
        <v>957.64</v>
      </c>
      <c r="P45" s="200">
        <f t="shared" si="13"/>
        <v>902.64300000000003</v>
      </c>
      <c r="Q45" s="200">
        <f t="shared" si="13"/>
        <v>1130.1999999999998</v>
      </c>
      <c r="R45" s="200">
        <f t="shared" si="13"/>
        <v>856.6</v>
      </c>
      <c r="S45" s="201">
        <f>SUM(S46:S53)</f>
        <v>754.32500000000005</v>
      </c>
    </row>
    <row r="46" spans="1:19">
      <c r="A46" s="256" t="s">
        <v>0</v>
      </c>
      <c r="B46" s="257" t="s">
        <v>28</v>
      </c>
      <c r="C46" s="258" t="s">
        <v>29</v>
      </c>
      <c r="D46" s="258" t="s">
        <v>72</v>
      </c>
      <c r="E46" s="258" t="s">
        <v>78</v>
      </c>
      <c r="F46" s="258" t="s">
        <v>179</v>
      </c>
      <c r="G46" s="258" t="str">
        <f>$G$4</f>
        <v>FY21</v>
      </c>
      <c r="H46" s="258" t="s">
        <v>199</v>
      </c>
      <c r="I46" s="259" t="s">
        <v>202</v>
      </c>
      <c r="K46" s="131" t="s">
        <v>96</v>
      </c>
      <c r="L46" s="93"/>
      <c r="M46" s="107"/>
      <c r="N46" s="120"/>
      <c r="O46" s="120"/>
      <c r="P46" s="120"/>
      <c r="Q46" s="120"/>
      <c r="R46" s="120"/>
      <c r="S46" s="157"/>
    </row>
    <row r="47" spans="1:19">
      <c r="A47" s="129" t="s">
        <v>13</v>
      </c>
      <c r="B47" s="115"/>
      <c r="C47" s="115">
        <v>-108.22499999999999</v>
      </c>
      <c r="D47" s="115">
        <v>-144.97499999999999</v>
      </c>
      <c r="E47" s="115">
        <v>324.36900000000003</v>
      </c>
      <c r="F47" s="115">
        <v>384.226</v>
      </c>
      <c r="G47" s="115">
        <f>F52</f>
        <v>-182.24400000000003</v>
      </c>
      <c r="H47" s="115">
        <v>22.912999999999982</v>
      </c>
      <c r="I47" s="222">
        <f>H52</f>
        <v>-18.834000000000003</v>
      </c>
      <c r="K47" s="131" t="s">
        <v>97</v>
      </c>
      <c r="L47" s="107">
        <v>197.733</v>
      </c>
      <c r="M47" s="107">
        <v>274.89299999999997</v>
      </c>
      <c r="N47" s="120">
        <f>3.833+397.027</f>
        <v>400.86</v>
      </c>
      <c r="O47" s="120">
        <f>9.789+417.408</f>
        <v>427.197</v>
      </c>
      <c r="P47" s="120">
        <f>9.801+553.546</f>
        <v>563.34700000000009</v>
      </c>
      <c r="Q47" s="120">
        <v>621.29999999999995</v>
      </c>
      <c r="R47" s="120">
        <f>22.472+623.325</f>
        <v>645.79700000000003</v>
      </c>
      <c r="S47" s="157">
        <f>429.901+28.047</f>
        <v>457.94800000000004</v>
      </c>
    </row>
    <row r="48" spans="1:19">
      <c r="A48" s="131" t="s">
        <v>14</v>
      </c>
      <c r="B48" s="149"/>
      <c r="C48" s="149">
        <v>19.102</v>
      </c>
      <c r="D48" s="149">
        <v>592.55799999999999</v>
      </c>
      <c r="E48" s="149">
        <v>903.42</v>
      </c>
      <c r="F48" s="149">
        <v>344.596</v>
      </c>
      <c r="G48" s="149">
        <v>625.97199999999998</v>
      </c>
      <c r="H48" s="149">
        <v>434.411</v>
      </c>
      <c r="I48" s="223">
        <v>1166.953</v>
      </c>
      <c r="K48" s="131" t="s">
        <v>98</v>
      </c>
      <c r="L48" s="93"/>
      <c r="M48" s="107">
        <v>168.679</v>
      </c>
      <c r="N48" s="120">
        <v>233.20699999999999</v>
      </c>
      <c r="O48" s="120">
        <v>425.19</v>
      </c>
      <c r="P48" s="120">
        <v>297.37599999999998</v>
      </c>
      <c r="Q48" s="120">
        <v>410.3</v>
      </c>
      <c r="R48" s="120">
        <v>127.562</v>
      </c>
      <c r="S48" s="157">
        <v>90.834000000000003</v>
      </c>
    </row>
    <row r="49" spans="1:19">
      <c r="A49" s="131" t="s">
        <v>69</v>
      </c>
      <c r="B49" s="117"/>
      <c r="C49" s="117">
        <v>65.236000000000004</v>
      </c>
      <c r="D49" s="117">
        <v>-1011.407</v>
      </c>
      <c r="E49" s="117">
        <v>-965.8</v>
      </c>
      <c r="F49" s="117">
        <v>-436.59199999999998</v>
      </c>
      <c r="G49" s="117">
        <v>-415.49799999999999</v>
      </c>
      <c r="H49" s="117">
        <v>-260.375</v>
      </c>
      <c r="I49" s="224">
        <v>-563.20000000000005</v>
      </c>
      <c r="K49" s="131" t="s">
        <v>169</v>
      </c>
      <c r="L49" s="93"/>
      <c r="M49" s="107"/>
      <c r="N49" s="120">
        <v>0</v>
      </c>
      <c r="O49" s="120">
        <v>0</v>
      </c>
      <c r="P49" s="120">
        <v>10.484999999999999</v>
      </c>
      <c r="Q49" s="120">
        <v>11.6</v>
      </c>
      <c r="R49" s="120">
        <v>10.698</v>
      </c>
      <c r="S49" s="157">
        <v>6.867</v>
      </c>
    </row>
    <row r="50" spans="1:19">
      <c r="A50" s="131" t="s">
        <v>15</v>
      </c>
      <c r="B50" s="117"/>
      <c r="C50" s="117">
        <v>-121.08799999999999</v>
      </c>
      <c r="D50" s="117">
        <v>88.81</v>
      </c>
      <c r="E50" s="117">
        <v>122.232</v>
      </c>
      <c r="F50" s="117">
        <v>-474.47399999999999</v>
      </c>
      <c r="G50" s="117">
        <v>-11.432</v>
      </c>
      <c r="H50" s="117">
        <v>-215.78299999999999</v>
      </c>
      <c r="I50" s="224">
        <v>-407.86099999999999</v>
      </c>
      <c r="K50" s="131" t="s">
        <v>68</v>
      </c>
      <c r="L50" s="93"/>
      <c r="M50" s="107">
        <v>39.223999999999997</v>
      </c>
      <c r="N50" s="120">
        <v>60.619</v>
      </c>
      <c r="O50" s="120">
        <v>48.978999999999999</v>
      </c>
      <c r="P50" s="120">
        <v>23.361999999999998</v>
      </c>
      <c r="Q50" s="120">
        <v>77</v>
      </c>
      <c r="R50" s="120">
        <v>59.037999999999997</v>
      </c>
      <c r="S50" s="157">
        <v>168.648</v>
      </c>
    </row>
    <row r="51" spans="1:19">
      <c r="A51" s="129" t="s">
        <v>16</v>
      </c>
      <c r="B51" s="124"/>
      <c r="C51" s="124">
        <f t="shared" ref="C51:E51" si="14">SUM(C48:C50)</f>
        <v>-36.749999999999986</v>
      </c>
      <c r="D51" s="124">
        <f t="shared" si="14"/>
        <v>-330.03900000000004</v>
      </c>
      <c r="E51" s="124">
        <f t="shared" si="14"/>
        <v>59.852000000000004</v>
      </c>
      <c r="F51" s="124">
        <f>SUM(F48:F50)</f>
        <v>-566.47</v>
      </c>
      <c r="G51" s="124">
        <f>SUM(G48:G50)+6.115</f>
        <v>205.15700000000001</v>
      </c>
      <c r="H51" s="124">
        <f>SUM(H48:H50)</f>
        <v>-41.746999999999986</v>
      </c>
      <c r="I51" s="225">
        <f>SUM(I48:I50)</f>
        <v>195.89199999999994</v>
      </c>
      <c r="K51" s="131" t="s">
        <v>99</v>
      </c>
      <c r="L51" s="93"/>
      <c r="M51" s="107">
        <v>2.798</v>
      </c>
      <c r="N51" s="120">
        <v>37.649000000000001</v>
      </c>
      <c r="O51" s="120">
        <v>51.250999999999998</v>
      </c>
      <c r="P51" s="120">
        <v>3.202</v>
      </c>
      <c r="Q51" s="120">
        <v>3.2</v>
      </c>
      <c r="R51" s="120">
        <v>3.2010000000000001</v>
      </c>
      <c r="S51" s="157">
        <v>3.2530000000000001</v>
      </c>
    </row>
    <row r="52" spans="1:19" ht="15" thickBot="1">
      <c r="A52" s="235" t="s">
        <v>62</v>
      </c>
      <c r="B52" s="240">
        <f t="shared" ref="B52" si="15">+B47+B51</f>
        <v>0</v>
      </c>
      <c r="C52" s="240">
        <f>+C47+C51</f>
        <v>-144.97499999999997</v>
      </c>
      <c r="D52" s="240">
        <f>+D47+D51</f>
        <v>-475.01400000000001</v>
      </c>
      <c r="E52" s="240">
        <f t="shared" ref="E52" si="16">+E47+E51</f>
        <v>384.221</v>
      </c>
      <c r="F52" s="240">
        <f>+F47+F51</f>
        <v>-182.24400000000003</v>
      </c>
      <c r="G52" s="240">
        <f>+G47+G51</f>
        <v>22.912999999999982</v>
      </c>
      <c r="H52" s="240">
        <f>+H47+H51</f>
        <v>-18.834000000000003</v>
      </c>
      <c r="I52" s="241">
        <f>+I47+I51</f>
        <v>177.05799999999994</v>
      </c>
      <c r="K52" s="131" t="s">
        <v>109</v>
      </c>
      <c r="L52" s="93"/>
      <c r="M52" s="107">
        <v>4.6920000000000002</v>
      </c>
      <c r="N52" s="120">
        <v>4.6689999999999996</v>
      </c>
      <c r="O52" s="120">
        <v>5.0229999999999997</v>
      </c>
      <c r="P52" s="120">
        <v>4.8710000000000004</v>
      </c>
      <c r="Q52" s="120">
        <v>6.8</v>
      </c>
      <c r="R52" s="120">
        <v>10.304</v>
      </c>
      <c r="S52" s="157">
        <v>25.821999999999999</v>
      </c>
    </row>
    <row r="53" spans="1:19">
      <c r="A53" s="345"/>
      <c r="B53" s="346"/>
      <c r="C53" s="346"/>
      <c r="D53" s="346"/>
      <c r="E53" s="346"/>
      <c r="F53" s="346"/>
      <c r="G53" s="346"/>
      <c r="H53" s="346"/>
      <c r="I53" s="347"/>
      <c r="K53" s="131" t="s">
        <v>204</v>
      </c>
      <c r="L53" s="93"/>
      <c r="M53" s="161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57">
        <v>0.95299999999999996</v>
      </c>
    </row>
    <row r="54" spans="1:19" ht="15" thickBot="1">
      <c r="D54" s="118"/>
      <c r="E54" s="118"/>
      <c r="F54" s="118"/>
      <c r="G54" s="118"/>
      <c r="H54" s="118"/>
      <c r="I54" s="226"/>
      <c r="K54" s="301" t="s">
        <v>205</v>
      </c>
      <c r="L54" s="302"/>
      <c r="M54" s="303">
        <f t="shared" ref="M54:Q54" si="17">(M33-M45-M12)</f>
        <v>180.98300000000006</v>
      </c>
      <c r="N54" s="304">
        <f t="shared" si="17"/>
        <v>787.09600000000046</v>
      </c>
      <c r="O54" s="304">
        <f t="shared" si="17"/>
        <v>1396.3260000000005</v>
      </c>
      <c r="P54" s="304">
        <f t="shared" si="17"/>
        <v>894.15800000000036</v>
      </c>
      <c r="Q54" s="304">
        <f t="shared" si="17"/>
        <v>1003.0000000000005</v>
      </c>
      <c r="R54" s="304">
        <f>(R33-R45-R12)</f>
        <v>1068.9650000000006</v>
      </c>
      <c r="S54" s="305">
        <f>(S33-S45-S12)</f>
        <v>442.8580000000004</v>
      </c>
    </row>
    <row r="55" spans="1:19">
      <c r="A55" s="252" t="s">
        <v>17</v>
      </c>
      <c r="B55" s="253"/>
      <c r="C55" s="258" t="s">
        <v>29</v>
      </c>
      <c r="D55" s="258" t="s">
        <v>72</v>
      </c>
      <c r="E55" s="258" t="s">
        <v>78</v>
      </c>
      <c r="F55" s="258" t="s">
        <v>179</v>
      </c>
      <c r="G55" s="258" t="str">
        <f>$G$4</f>
        <v>FY21</v>
      </c>
      <c r="H55" s="258" t="s">
        <v>199</v>
      </c>
      <c r="I55" s="260" t="s">
        <v>202</v>
      </c>
      <c r="K55" s="131" t="s">
        <v>100</v>
      </c>
      <c r="L55" s="93"/>
      <c r="M55" s="107">
        <v>26.702999999999999</v>
      </c>
      <c r="N55" s="120">
        <v>27.297000000000001</v>
      </c>
      <c r="O55" s="120">
        <v>63.094000000000001</v>
      </c>
      <c r="P55" s="120">
        <v>40.582999999999998</v>
      </c>
      <c r="Q55" s="120">
        <v>44.9</v>
      </c>
      <c r="R55" s="120">
        <v>56.482999999999997</v>
      </c>
      <c r="S55" s="157">
        <v>46.246000000000002</v>
      </c>
    </row>
    <row r="56" spans="1:19">
      <c r="A56" s="228" t="s">
        <v>23</v>
      </c>
      <c r="B56" s="229"/>
      <c r="C56" s="230">
        <f t="shared" ref="C56:G56" si="18">C48</f>
        <v>19.102</v>
      </c>
      <c r="D56" s="115">
        <f t="shared" si="18"/>
        <v>592.55799999999999</v>
      </c>
      <c r="E56" s="115">
        <f t="shared" si="18"/>
        <v>903.42</v>
      </c>
      <c r="F56" s="115">
        <f t="shared" si="18"/>
        <v>344.596</v>
      </c>
      <c r="G56" s="115">
        <f t="shared" si="18"/>
        <v>625.97199999999998</v>
      </c>
      <c r="H56" s="115">
        <v>434.4</v>
      </c>
      <c r="I56" s="231">
        <f>I48</f>
        <v>1166.953</v>
      </c>
      <c r="K56" s="131" t="s">
        <v>101</v>
      </c>
      <c r="L56" s="93"/>
      <c r="M56" s="107">
        <v>27.388000000000002</v>
      </c>
      <c r="N56" s="120">
        <v>21.893000000000001</v>
      </c>
      <c r="O56" s="120">
        <v>0</v>
      </c>
      <c r="P56" s="120">
        <v>0</v>
      </c>
      <c r="Q56" s="120">
        <v>0</v>
      </c>
      <c r="R56" s="120">
        <v>0</v>
      </c>
      <c r="S56" s="157">
        <v>0</v>
      </c>
    </row>
    <row r="57" spans="1:19">
      <c r="A57" s="232" t="s">
        <v>24</v>
      </c>
      <c r="B57" s="233"/>
      <c r="C57" s="233">
        <v>190.23500000000001</v>
      </c>
      <c r="D57" s="119">
        <v>195.27600000000001</v>
      </c>
      <c r="E57" s="119">
        <v>357.71499999999997</v>
      </c>
      <c r="F57" s="234">
        <f>P20</f>
        <v>670.75099999999998</v>
      </c>
      <c r="G57" s="234">
        <f>Q17</f>
        <v>1537.9</v>
      </c>
      <c r="H57" s="234">
        <v>371.28199999999998</v>
      </c>
      <c r="I57" s="261">
        <v>404.89400000000001</v>
      </c>
      <c r="K57" s="131" t="s">
        <v>169</v>
      </c>
      <c r="L57" s="93"/>
      <c r="M57" s="107"/>
      <c r="N57" s="120"/>
      <c r="O57" s="120">
        <v>0</v>
      </c>
      <c r="P57" s="120">
        <v>26.407</v>
      </c>
      <c r="Q57" s="120">
        <v>17</v>
      </c>
      <c r="R57" s="120">
        <v>19.678000000000001</v>
      </c>
      <c r="S57" s="157">
        <v>19.911000000000001</v>
      </c>
    </row>
    <row r="58" spans="1:19" ht="15" thickBot="1">
      <c r="A58" s="235" t="s">
        <v>25</v>
      </c>
      <c r="B58" s="236"/>
      <c r="C58" s="237">
        <f>C56-C57</f>
        <v>-171.13300000000001</v>
      </c>
      <c r="D58" s="238">
        <f>+D56-D57</f>
        <v>397.28199999999998</v>
      </c>
      <c r="E58" s="238">
        <f>+E56-E57</f>
        <v>545.70499999999993</v>
      </c>
      <c r="F58" s="238">
        <f>+F56-F57</f>
        <v>-326.15499999999997</v>
      </c>
      <c r="G58" s="238">
        <f>+G56-G57</f>
        <v>-911.92800000000011</v>
      </c>
      <c r="H58" s="238">
        <f>H56+H57</f>
        <v>805.68200000000002</v>
      </c>
      <c r="I58" s="239">
        <f>I56+I57</f>
        <v>1571.847</v>
      </c>
      <c r="K58" s="131" t="s">
        <v>102</v>
      </c>
      <c r="L58" s="93"/>
      <c r="M58" s="107">
        <v>21.762</v>
      </c>
      <c r="N58" s="120">
        <v>36.56</v>
      </c>
      <c r="O58" s="120">
        <v>18.518000000000001</v>
      </c>
      <c r="P58" s="120">
        <v>5.944</v>
      </c>
      <c r="Q58" s="120">
        <v>4.8</v>
      </c>
      <c r="R58" s="120">
        <v>7.2430000000000003</v>
      </c>
      <c r="S58" s="157">
        <v>10.837999999999999</v>
      </c>
    </row>
    <row r="59" spans="1:19" ht="15" thickBot="1">
      <c r="A59" s="153" t="s">
        <v>26</v>
      </c>
      <c r="D59" s="118"/>
      <c r="E59" s="118"/>
      <c r="F59" s="118"/>
      <c r="G59" s="118"/>
      <c r="H59" s="118"/>
      <c r="I59" s="226"/>
      <c r="K59" s="131" t="s">
        <v>178</v>
      </c>
      <c r="L59" s="93"/>
      <c r="M59" s="107">
        <v>8.9169999999999998</v>
      </c>
      <c r="N59" s="120">
        <v>17.117999999999999</v>
      </c>
      <c r="O59" s="120">
        <v>13.340999999999999</v>
      </c>
      <c r="P59" s="120">
        <v>5.4930000000000003</v>
      </c>
      <c r="Q59" s="120">
        <v>3.4</v>
      </c>
      <c r="R59" s="120">
        <v>52.442999999999998</v>
      </c>
      <c r="S59" s="157">
        <v>239.44</v>
      </c>
    </row>
    <row r="60" spans="1:19">
      <c r="A60" s="252"/>
      <c r="B60" s="253"/>
      <c r="C60" s="254" t="str">
        <f t="shared" ref="C60:F60" si="19">C55</f>
        <v>FY17</v>
      </c>
      <c r="D60" s="254" t="str">
        <f t="shared" si="19"/>
        <v>FY18</v>
      </c>
      <c r="E60" s="254" t="str">
        <f t="shared" si="19"/>
        <v>FY19</v>
      </c>
      <c r="F60" s="254" t="str">
        <f t="shared" si="19"/>
        <v>FY20</v>
      </c>
      <c r="G60" s="254" t="str">
        <f>G55</f>
        <v>FY21</v>
      </c>
      <c r="H60" s="255" t="s">
        <v>199</v>
      </c>
      <c r="I60" s="259" t="s">
        <v>202</v>
      </c>
      <c r="K60" s="131"/>
      <c r="L60" s="93"/>
      <c r="M60" s="107"/>
      <c r="N60" s="120"/>
      <c r="O60" s="120"/>
      <c r="P60" s="120"/>
      <c r="Q60" s="120"/>
      <c r="R60" s="120"/>
      <c r="S60" s="157"/>
    </row>
    <row r="61" spans="1:19">
      <c r="A61" s="232" t="s">
        <v>63</v>
      </c>
      <c r="B61" s="242"/>
      <c r="C61" s="243">
        <v>2293198</v>
      </c>
      <c r="D61" s="243">
        <v>2293198</v>
      </c>
      <c r="E61" s="243">
        <v>9172792</v>
      </c>
      <c r="F61" s="243">
        <v>29430987</v>
      </c>
      <c r="G61" s="243">
        <v>29430987</v>
      </c>
      <c r="H61" s="243">
        <v>29430987</v>
      </c>
      <c r="I61" s="286">
        <v>29430987</v>
      </c>
      <c r="K61" s="129"/>
      <c r="L61" s="122"/>
      <c r="M61" s="114"/>
      <c r="N61" s="137"/>
      <c r="O61" s="137"/>
      <c r="P61" s="137"/>
      <c r="Q61" s="137"/>
      <c r="R61" s="137"/>
      <c r="S61" s="160"/>
    </row>
    <row r="62" spans="1:19">
      <c r="A62" s="232" t="s">
        <v>64</v>
      </c>
      <c r="B62" s="233"/>
      <c r="C62" s="119">
        <f t="shared" ref="C62:I62" si="20">C61*M68/1000000</f>
        <v>1763.3546021000002</v>
      </c>
      <c r="D62" s="119">
        <f t="shared" si="20"/>
        <v>6551.5520260999992</v>
      </c>
      <c r="E62" s="119">
        <f t="shared" si="20"/>
        <v>7549.6664555999996</v>
      </c>
      <c r="F62" s="119">
        <f t="shared" si="20"/>
        <v>6261.4424842500002</v>
      </c>
      <c r="G62" s="119">
        <f t="shared" si="20"/>
        <v>7366.5760461</v>
      </c>
      <c r="H62" s="119">
        <f t="shared" si="20"/>
        <v>6053.9540258999996</v>
      </c>
      <c r="I62" s="287">
        <f t="shared" si="20"/>
        <v>3147.6440596500001</v>
      </c>
      <c r="K62" s="197" t="s">
        <v>74</v>
      </c>
      <c r="L62" s="198"/>
      <c r="M62" s="199">
        <f>SUM(M17:M32)+M33</f>
        <v>3078.2560000000003</v>
      </c>
      <c r="N62" s="200">
        <f>SUM(N17:N32)+N33</f>
        <v>3846.42</v>
      </c>
      <c r="O62" s="200">
        <f>SUM(O17:O32)+O33</f>
        <v>5512.4710000000005</v>
      </c>
      <c r="P62" s="200">
        <f>SUM(P17:P32)+P33</f>
        <v>6136.7450000000008</v>
      </c>
      <c r="Q62" s="200">
        <f>SUM(Q17:Q32)+Q33</f>
        <v>6870.7000000000007</v>
      </c>
      <c r="R62" s="200">
        <f>SUM(R17:R32)+R33</f>
        <v>7068.4250000000011</v>
      </c>
      <c r="S62" s="201">
        <f>SUM(S17:S32)+S33</f>
        <v>6358.0710000000008</v>
      </c>
    </row>
    <row r="63" spans="1:19" ht="15" thickBot="1">
      <c r="A63" s="232" t="s">
        <v>67</v>
      </c>
      <c r="B63" s="233"/>
      <c r="C63" s="119">
        <f>M13</f>
        <v>774.49800000000005</v>
      </c>
      <c r="D63" s="119">
        <f>N13</f>
        <v>1652.23</v>
      </c>
      <c r="E63" s="119">
        <f>O13</f>
        <v>1954.2180000000001</v>
      </c>
      <c r="F63" s="119">
        <f>P13</f>
        <v>2061.1970000000001</v>
      </c>
      <c r="G63" s="119">
        <f>Q13</f>
        <v>2067.4</v>
      </c>
      <c r="H63" s="119">
        <f>R13</f>
        <v>2361.4589999999998</v>
      </c>
      <c r="I63" s="287">
        <f>S13</f>
        <v>2168.4519999999998</v>
      </c>
      <c r="K63" s="202" t="s">
        <v>75</v>
      </c>
      <c r="L63" s="203"/>
      <c r="M63" s="204">
        <f>M60+M45+M13+M9+M55+M61+M56+M59+M58+M10</f>
        <v>3078.2560000000003</v>
      </c>
      <c r="N63" s="205">
        <f>N60+N45+N13+N9+N55+N61+N56+N59+N58+N10</f>
        <v>3846.4199999999996</v>
      </c>
      <c r="O63" s="205">
        <f>O60+O45+O13+O9+O55+O61+O56+O59+O58+O10+O57</f>
        <v>5512.4710000000005</v>
      </c>
      <c r="P63" s="205">
        <f>P60+P45+P13+P9+P55+P61+P56+P59+P58+P10+P57</f>
        <v>6136.7450000000008</v>
      </c>
      <c r="Q63" s="205">
        <f>Q60+Q45+Q13+Q9+Q55+Q61+Q59+Q58+Q10+Q57</f>
        <v>6870.6769999999988</v>
      </c>
      <c r="R63" s="205">
        <f>R60+R45+R13+R9+R55+R61+R59+R58+R10+R57</f>
        <v>7068.4250000000002</v>
      </c>
      <c r="S63" s="207">
        <f>S60+S45+S13+S9+S55+S61+S56+S59+S58+S10+S57</f>
        <v>6358.0709999999999</v>
      </c>
    </row>
    <row r="64" spans="1:19">
      <c r="A64" s="232" t="s">
        <v>65</v>
      </c>
      <c r="B64" s="233"/>
      <c r="C64" s="119">
        <f>M39+M38</f>
        <v>24.856000000000002</v>
      </c>
      <c r="D64" s="119">
        <f>N39+N38</f>
        <v>326.59500000000003</v>
      </c>
      <c r="E64" s="119">
        <f>O39+O38</f>
        <v>911.34199999999998</v>
      </c>
      <c r="F64" s="119">
        <f>P39+P38</f>
        <v>331.09899999999999</v>
      </c>
      <c r="G64" s="119">
        <f>Q39+Q38</f>
        <v>445.29999999999995</v>
      </c>
      <c r="H64" s="119">
        <f>R38+R39</f>
        <v>336.09199999999998</v>
      </c>
      <c r="I64" s="287">
        <f>S38+S39</f>
        <v>582.79099999999994</v>
      </c>
      <c r="N64" s="113"/>
      <c r="O64" s="113"/>
      <c r="P64" s="113"/>
      <c r="Q64" s="113"/>
      <c r="S64" s="113"/>
    </row>
    <row r="65" spans="1:19" ht="15" thickBot="1">
      <c r="A65" s="245" t="s">
        <v>66</v>
      </c>
      <c r="B65" s="246"/>
      <c r="C65" s="240">
        <f t="shared" ref="C65:E65" si="21">C62+C63-C64</f>
        <v>2512.9966021</v>
      </c>
      <c r="D65" s="240">
        <f t="shared" si="21"/>
        <v>7877.1870260999995</v>
      </c>
      <c r="E65" s="240">
        <f t="shared" si="21"/>
        <v>8592.5424555999998</v>
      </c>
      <c r="F65" s="240">
        <f>F62+F63-F64</f>
        <v>7991.5404842500011</v>
      </c>
      <c r="G65" s="240">
        <f>G62+G63-G64</f>
        <v>8988.6760461000013</v>
      </c>
      <c r="H65" s="240">
        <f>H62+H63-H64</f>
        <v>8079.3210258999998</v>
      </c>
      <c r="I65" s="239">
        <f>I62+I63-I64</f>
        <v>4733.3050596499997</v>
      </c>
      <c r="K65" s="141"/>
      <c r="L65" s="141"/>
      <c r="M65" s="141"/>
      <c r="N65" s="141"/>
      <c r="O65" s="141"/>
      <c r="P65" s="141"/>
      <c r="Q65" s="141"/>
      <c r="R65" s="118"/>
      <c r="S65" s="118"/>
    </row>
    <row r="66" spans="1:19" ht="15" thickBot="1">
      <c r="A66" s="145"/>
      <c r="D66" s="118"/>
      <c r="E66" s="118"/>
      <c r="F66" s="118"/>
      <c r="G66" s="118"/>
      <c r="I66" s="221"/>
      <c r="K66" s="317" t="s">
        <v>40</v>
      </c>
      <c r="L66" s="317"/>
      <c r="M66" s="317"/>
      <c r="N66" s="317"/>
      <c r="O66" s="317"/>
      <c r="P66" s="317"/>
      <c r="Q66" s="317"/>
      <c r="R66" s="289"/>
      <c r="S66" s="289"/>
    </row>
    <row r="67" spans="1:19">
      <c r="D67" s="118"/>
      <c r="E67" s="118"/>
      <c r="F67" s="118"/>
      <c r="G67" s="118"/>
      <c r="I67" s="221"/>
      <c r="K67" s="256" t="s">
        <v>41</v>
      </c>
      <c r="L67" s="290"/>
      <c r="M67" s="258" t="s">
        <v>29</v>
      </c>
      <c r="N67" s="258" t="s">
        <v>72</v>
      </c>
      <c r="O67" s="258" t="s">
        <v>78</v>
      </c>
      <c r="P67" s="258" t="s">
        <v>179</v>
      </c>
      <c r="Q67" s="258" t="str">
        <f>$G$4</f>
        <v>FY21</v>
      </c>
      <c r="R67" s="258" t="s">
        <v>200</v>
      </c>
      <c r="S67" s="255" t="s">
        <v>202</v>
      </c>
    </row>
    <row r="68" spans="1:19">
      <c r="D68" s="118"/>
      <c r="E68" s="118"/>
      <c r="F68" s="118"/>
      <c r="G68" s="118"/>
      <c r="K68" s="144" t="s">
        <v>197</v>
      </c>
      <c r="L68" s="114"/>
      <c r="M68" s="126">
        <v>768.95</v>
      </c>
      <c r="N68" s="126">
        <v>2856.95</v>
      </c>
      <c r="O68" s="126">
        <v>823.05</v>
      </c>
      <c r="P68" s="126">
        <v>212.75</v>
      </c>
      <c r="Q68" s="126">
        <v>250.3</v>
      </c>
      <c r="R68" s="126">
        <v>205.7</v>
      </c>
      <c r="S68" s="285">
        <v>106.95</v>
      </c>
    </row>
    <row r="69" spans="1:19">
      <c r="D69" s="118"/>
      <c r="E69" s="118"/>
      <c r="F69" s="118"/>
      <c r="G69" s="118"/>
      <c r="K69" s="262" t="s">
        <v>198</v>
      </c>
      <c r="L69" s="263"/>
      <c r="M69" s="123">
        <f>C39</f>
        <v>-49.82</v>
      </c>
      <c r="N69" s="123">
        <f>D39</f>
        <v>36.75</v>
      </c>
      <c r="O69" s="123">
        <f>E39</f>
        <v>40.700000000000003</v>
      </c>
      <c r="P69" s="123">
        <f>F39</f>
        <v>20.53</v>
      </c>
      <c r="Q69" s="123">
        <f>G39</f>
        <v>15.69</v>
      </c>
      <c r="R69" s="123">
        <f>H39</f>
        <v>5.35</v>
      </c>
      <c r="S69" s="291">
        <f>I39</f>
        <v>-17.850000000000001</v>
      </c>
    </row>
    <row r="70" spans="1:19">
      <c r="D70" s="118"/>
      <c r="E70" s="118"/>
      <c r="F70" s="118"/>
      <c r="G70" s="118"/>
      <c r="K70" s="262" t="s">
        <v>44</v>
      </c>
      <c r="L70" s="264"/>
      <c r="M70" s="166">
        <f>(M9*1000000)/C61</f>
        <v>629.68439707343191</v>
      </c>
      <c r="N70" s="166">
        <f>(N9*1000000)/D61</f>
        <v>542.68405955351432</v>
      </c>
      <c r="O70" s="166">
        <f>(O9*1000000)/E61</f>
        <v>273.14235404007854</v>
      </c>
      <c r="P70" s="166">
        <f>(P9*1000000)/F61</f>
        <v>105.13932135541361</v>
      </c>
      <c r="Q70" s="166">
        <f>(Q9*1000000)/G61</f>
        <v>122.42120863972384</v>
      </c>
      <c r="R70" s="166">
        <f>(R9*1000000)/H61</f>
        <v>126.21115968689735</v>
      </c>
      <c r="S70" s="269">
        <f>(S9*1000000)/I61</f>
        <v>105.97194718614092</v>
      </c>
    </row>
    <row r="71" spans="1:19">
      <c r="K71" s="262" t="s">
        <v>45</v>
      </c>
      <c r="L71" s="264"/>
      <c r="M71" s="265" t="s">
        <v>122</v>
      </c>
      <c r="N71" s="266">
        <v>2.5</v>
      </c>
      <c r="O71" s="266">
        <v>1.25</v>
      </c>
      <c r="P71" s="266">
        <v>6.25</v>
      </c>
      <c r="Q71" s="265">
        <v>2.5</v>
      </c>
      <c r="R71" s="265">
        <v>1.25</v>
      </c>
      <c r="S71" s="267">
        <v>1.25</v>
      </c>
    </row>
    <row r="72" spans="1:19">
      <c r="K72" s="262" t="s">
        <v>206</v>
      </c>
      <c r="L72" s="264"/>
      <c r="M72" s="268" t="s">
        <v>122</v>
      </c>
      <c r="N72" s="166">
        <f t="shared" ref="N72" si="22">(N68/N69)</f>
        <v>77.740136054421768</v>
      </c>
      <c r="O72" s="166">
        <f>(O68/O69)</f>
        <v>20.22235872235872</v>
      </c>
      <c r="P72" s="166">
        <f>(P68/P69)</f>
        <v>10.362883584997563</v>
      </c>
      <c r="Q72" s="166">
        <f>(Q68/Q69)</f>
        <v>15.952836201402167</v>
      </c>
      <c r="R72" s="166">
        <f>(R68/R69)</f>
        <v>38.44859813084112</v>
      </c>
      <c r="S72" s="269">
        <f>(S68/S69)</f>
        <v>-5.9915966386554622</v>
      </c>
    </row>
    <row r="73" spans="1:19">
      <c r="K73" s="262" t="s">
        <v>47</v>
      </c>
      <c r="L73" s="264"/>
      <c r="M73" s="268">
        <f t="shared" ref="M73" si="23">(M68/M70)</f>
        <v>1.2211673078987335</v>
      </c>
      <c r="N73" s="166">
        <f t="shared" ref="N73" si="24">(N68/N70)</f>
        <v>5.2644811464529013</v>
      </c>
      <c r="O73" s="166">
        <f>(O68/O70)</f>
        <v>3.0132639183421284</v>
      </c>
      <c r="P73" s="166">
        <f>(P68/P70)</f>
        <v>2.0235055472806276</v>
      </c>
      <c r="Q73" s="166">
        <f>(Q68/Q70)</f>
        <v>2.0445803695388562</v>
      </c>
      <c r="R73" s="166">
        <f>(R68/R70)</f>
        <v>1.6298083347803578</v>
      </c>
      <c r="S73" s="269">
        <f>(S68/S70)</f>
        <v>1.0092293558798267</v>
      </c>
    </row>
    <row r="74" spans="1:19">
      <c r="K74" s="262" t="s">
        <v>48</v>
      </c>
      <c r="L74" s="264"/>
      <c r="M74" s="270">
        <f>B65/B18</f>
        <v>0</v>
      </c>
      <c r="N74" s="166">
        <f>D65/D18</f>
        <v>8.4686548157409813</v>
      </c>
      <c r="O74" s="166">
        <f>E65/E18</f>
        <v>5.7713737619230239</v>
      </c>
      <c r="P74" s="166">
        <f>F65/F18</f>
        <v>12.249974683539449</v>
      </c>
      <c r="Q74" s="166">
        <f>G65/G18</f>
        <v>11.007022812139146</v>
      </c>
      <c r="R74" s="166">
        <f>H65/H18</f>
        <v>13.147133384483451</v>
      </c>
      <c r="S74" s="269">
        <f>I65/(I18+177)</f>
        <v>13.281176512519927</v>
      </c>
    </row>
    <row r="75" spans="1:19">
      <c r="K75" s="271" t="s">
        <v>49</v>
      </c>
      <c r="L75" s="272"/>
      <c r="M75" s="273">
        <f>(C36/M9)</f>
        <v>-5.969289282273918E-2</v>
      </c>
      <c r="N75" s="274">
        <f>(D36/N9)</f>
        <v>0.37259518418104892</v>
      </c>
      <c r="O75" s="274">
        <f>(E36/O9)</f>
        <v>0.46285658864296569</v>
      </c>
      <c r="P75" s="274">
        <f>(F36/P9)</f>
        <v>0.19797896426847097</v>
      </c>
      <c r="Q75" s="274">
        <f>(G36/Q9)</f>
        <v>0.11728662159097875</v>
      </c>
      <c r="R75" s="274">
        <f>(H36/R9)</f>
        <v>4.2195503643944206E-2</v>
      </c>
      <c r="S75" s="292">
        <f>(I36/S9)</f>
        <v>-0.17643952483905181</v>
      </c>
    </row>
    <row r="76" spans="1:19">
      <c r="K76" s="271" t="s">
        <v>50</v>
      </c>
      <c r="L76" s="272"/>
      <c r="M76" s="274">
        <f>(C18-C22)/M14</f>
        <v>7.453980478808752E-3</v>
      </c>
      <c r="N76" s="274">
        <f>(D18-D22)/N14</f>
        <v>0.28693195866752758</v>
      </c>
      <c r="O76" s="274">
        <f>(E18-E22)/O14</f>
        <v>0.34658433994331994</v>
      </c>
      <c r="P76" s="274">
        <f>(F18-F22)/P14</f>
        <v>0.11987648099204638</v>
      </c>
      <c r="Q76" s="274">
        <f>(G18-G22)/Q14</f>
        <v>0.12842428048142326</v>
      </c>
      <c r="R76" s="274">
        <f>(H18-H22)/R14</f>
        <v>7.182335035823123E-2</v>
      </c>
      <c r="S76" s="292">
        <f>(I18-I22)/S14</f>
        <v>-2.4134525695919486E-2</v>
      </c>
    </row>
    <row r="77" spans="1:19">
      <c r="K77" s="262" t="s">
        <v>51</v>
      </c>
      <c r="L77" s="264"/>
      <c r="M77" s="275">
        <f>(M13/M9)</f>
        <v>0.53635929863828791</v>
      </c>
      <c r="N77" s="244">
        <f>(N13/N9)</f>
        <v>1.3276447550065007</v>
      </c>
      <c r="O77" s="244">
        <f>(O13/O9)</f>
        <v>0.77997811196107092</v>
      </c>
      <c r="P77" s="244">
        <f>(P13/P9)</f>
        <v>0.66611544768310282</v>
      </c>
      <c r="Q77" s="244">
        <f>(Q13/Q9)</f>
        <v>0.57380327434785183</v>
      </c>
      <c r="R77" s="244">
        <f>(R13/R9)</f>
        <v>0.63573749387201939</v>
      </c>
      <c r="S77" s="293">
        <f>(S13/S9)</f>
        <v>0.69527093081155633</v>
      </c>
    </row>
    <row r="78" spans="1:19">
      <c r="K78" s="262" t="s">
        <v>52</v>
      </c>
      <c r="L78" s="264"/>
      <c r="M78" s="275">
        <f>(M13-M39-M38)/M9</f>
        <v>0.51914589495363894</v>
      </c>
      <c r="N78" s="244">
        <f>(N13-N39-N38)/N9</f>
        <v>1.0652102641902412</v>
      </c>
      <c r="O78" s="244">
        <f>(O13-O39-O38)/O9</f>
        <v>0.4162383385525637</v>
      </c>
      <c r="P78" s="244">
        <f>(P13-P39-P38)/P9</f>
        <v>0.55911443874876632</v>
      </c>
      <c r="Q78" s="244">
        <f>(Q13-Q39-Q38)/Q9</f>
        <v>0.4502110338200882</v>
      </c>
      <c r="R78" s="244">
        <f>(R13-R39-R38)/R9</f>
        <v>0.54525686905895487</v>
      </c>
      <c r="S78" s="293">
        <f>(S13-S39-S38)/S9</f>
        <v>0.5084106078537054</v>
      </c>
    </row>
    <row r="79" spans="1:19">
      <c r="K79" s="262" t="s">
        <v>53</v>
      </c>
      <c r="L79" s="264"/>
      <c r="M79" s="276" t="s">
        <v>122</v>
      </c>
      <c r="N79" s="98">
        <f t="shared" ref="N79" si="25">(N71/N68)</f>
        <v>8.7505906648698798E-4</v>
      </c>
      <c r="O79" s="98">
        <f>(O71/O68)</f>
        <v>1.5187412672377134E-3</v>
      </c>
      <c r="P79" s="98">
        <f>(P71/P68)</f>
        <v>2.9377203290246769E-2</v>
      </c>
      <c r="Q79" s="98">
        <f>(Q71/Q68)</f>
        <v>9.9880143827407106E-3</v>
      </c>
      <c r="R79" s="98">
        <f>(R71/R68)</f>
        <v>6.0768108896451147E-3</v>
      </c>
      <c r="S79" s="294">
        <f>(S71/S68)</f>
        <v>1.168770453482936E-2</v>
      </c>
    </row>
    <row r="80" spans="1:19">
      <c r="K80" s="262" t="s">
        <v>54</v>
      </c>
      <c r="L80" s="264"/>
      <c r="M80" s="277">
        <f>(AVERAGE(L37:M37)/C5*365)</f>
        <v>96.462631942026064</v>
      </c>
      <c r="N80" s="278">
        <f>(AVERAGE(M37:N37)/D5*365)</f>
        <v>68.241357065481807</v>
      </c>
      <c r="O80" s="278">
        <f>(AVERAGE(N37:O37)/E5*365)</f>
        <v>60.550641336752086</v>
      </c>
      <c r="P80" s="278">
        <f>(AVERAGE(O37:P37)/F5*365)</f>
        <v>84.299842771374699</v>
      </c>
      <c r="Q80" s="278">
        <f>(AVERAGE(P37:Q37)/G5*365)</f>
        <v>66.6481923131564</v>
      </c>
      <c r="R80" s="278">
        <f>(AVERAGE(Q37:R37)/H5*365)</f>
        <v>71.027987730470841</v>
      </c>
      <c r="S80" s="295">
        <f>(AVERAGE(R37:S37)/I5*365)</f>
        <v>67.139215028465983</v>
      </c>
    </row>
    <row r="81" spans="11:19">
      <c r="K81" s="262" t="s">
        <v>55</v>
      </c>
      <c r="L81" s="264"/>
      <c r="M81" s="277">
        <f>AVERAGE(L47:M47)/(C9+C10+C11)*365</f>
        <v>126.24906507105457</v>
      </c>
      <c r="N81" s="278">
        <f>AVERAGE(M47:N47)/(D9+D10+D11)*365</f>
        <v>154.54018548593254</v>
      </c>
      <c r="O81" s="278">
        <f>AVERAGE(N47:O47)/(E8)*365</f>
        <v>59.080263835366985</v>
      </c>
      <c r="P81" s="278">
        <f>AVERAGE(O47:P47)/(F8)*365</f>
        <v>79.387243535694225</v>
      </c>
      <c r="Q81" s="278">
        <f>AVERAGE(P47:Q47)/(G8)*365</f>
        <v>73.132368904327322</v>
      </c>
      <c r="R81" s="278">
        <f>AVERAGE(Q47:R47)/(H8)*365</f>
        <v>68.606010426549844</v>
      </c>
      <c r="S81" s="295">
        <f>AVERAGE(R47:S47)/(I8)*365</f>
        <v>60.671870759660933</v>
      </c>
    </row>
    <row r="82" spans="11:19">
      <c r="K82" s="262" t="s">
        <v>56</v>
      </c>
      <c r="L82" s="264"/>
      <c r="M82" s="277">
        <f>(AVERAGE(L34:M34)/(C9+C10+C11)*365)</f>
        <v>178.65477080884705</v>
      </c>
      <c r="N82" s="278">
        <f>(AVERAGE(M34:N34)/(D9+D10+D11)*365)</f>
        <v>206.03574257028717</v>
      </c>
      <c r="O82" s="278">
        <f>(AVERAGE(N34:O34)/(E9+E10+E11)*365)</f>
        <v>274.67237260153996</v>
      </c>
      <c r="P82" s="278">
        <f>(AVERAGE(O34:P34)/(F9+F10+F11)*365)</f>
        <v>499.39973502089833</v>
      </c>
      <c r="Q82" s="278">
        <f>(AVERAGE(P34:Q34)/(G9+G10+G11)*365)</f>
        <v>395.02422553092998</v>
      </c>
      <c r="R82" s="278">
        <f>(AVERAGE(Q34:R34)/(H9+H10+H11)*365)</f>
        <v>383.38417102488268</v>
      </c>
      <c r="S82" s="295">
        <f>(AVERAGE(R34:S34)/(I9+I10+I11)*365)</f>
        <v>344.20987173934986</v>
      </c>
    </row>
    <row r="83" spans="11:19">
      <c r="K83" s="262" t="s">
        <v>71</v>
      </c>
      <c r="L83" s="264"/>
      <c r="M83" s="277">
        <f t="shared" ref="M83:N83" si="26">(M82+M80-M81)</f>
        <v>148.86833767981852</v>
      </c>
      <c r="N83" s="278">
        <f t="shared" si="26"/>
        <v>119.73691414983645</v>
      </c>
      <c r="O83" s="278">
        <f>(O82+O80-O81)</f>
        <v>276.14275010292511</v>
      </c>
      <c r="P83" s="278">
        <f>(P82+P80-P81)</f>
        <v>504.31233425657877</v>
      </c>
      <c r="Q83" s="278">
        <f>(Q82+Q80-Q81)</f>
        <v>388.54004893975906</v>
      </c>
      <c r="R83" s="278">
        <f>(R82+R80-R81)</f>
        <v>385.80614832880366</v>
      </c>
      <c r="S83" s="295">
        <f>(S82+S80-S81)</f>
        <v>350.67721600815491</v>
      </c>
    </row>
    <row r="84" spans="11:19">
      <c r="K84" s="262" t="s">
        <v>57</v>
      </c>
      <c r="L84" s="264"/>
      <c r="M84" s="279">
        <f>+M54/C5*365</f>
        <v>39.869317869759072</v>
      </c>
      <c r="N84" s="280">
        <f>+N54/D5*365</f>
        <v>94.822768023056682</v>
      </c>
      <c r="O84" s="280">
        <f>+O54/E5*365</f>
        <v>125.94422275511135</v>
      </c>
      <c r="P84" s="280">
        <f>+P54/F5*365</f>
        <v>111.40759899668615</v>
      </c>
      <c r="Q84" s="280">
        <f>+Q54/G5*365</f>
        <v>97.033095071997934</v>
      </c>
      <c r="R84" s="280">
        <f>+R54/H5*365</f>
        <v>97.906362283844828</v>
      </c>
      <c r="S84" s="296">
        <f>+S54/I5*365</f>
        <v>46.19116664128169</v>
      </c>
    </row>
    <row r="85" spans="11:19">
      <c r="K85" s="232" t="s">
        <v>73</v>
      </c>
      <c r="L85" s="233"/>
      <c r="M85" s="276">
        <f>C23/M13</f>
        <v>0.12864332767805725</v>
      </c>
      <c r="N85" s="98">
        <f>D23/N13</f>
        <v>8.2517567166798811E-2</v>
      </c>
      <c r="O85" s="98">
        <f>E23/O13</f>
        <v>0.1056847291346206</v>
      </c>
      <c r="P85" s="98">
        <f>F23/P13</f>
        <v>9.2860604784501422E-2</v>
      </c>
      <c r="Q85" s="98">
        <f>G23/Q13</f>
        <v>8.6943020218632094E-2</v>
      </c>
      <c r="R85" s="98">
        <f>H23/R13</f>
        <v>7.2346375694009507E-2</v>
      </c>
      <c r="S85" s="294">
        <f>I23/S13</f>
        <v>9.5839336079378293E-2</v>
      </c>
    </row>
    <row r="86" spans="11:19">
      <c r="K86" s="232" t="s">
        <v>180</v>
      </c>
      <c r="L86" s="233"/>
      <c r="M86" s="281">
        <f>(C18-C22)/C23</f>
        <v>0.16583696328562578</v>
      </c>
      <c r="N86" s="282">
        <f>(D18-D22)/D23</f>
        <v>5.9156434743065027</v>
      </c>
      <c r="O86" s="282">
        <f>(E18-E22)/E23</f>
        <v>6.6331252935394707</v>
      </c>
      <c r="P86" s="282">
        <f>(F18-F22)/F23</f>
        <v>2.6246839146517331</v>
      </c>
      <c r="Q86" s="282">
        <f>(G18-G22)/G23</f>
        <v>3.4134111468405401</v>
      </c>
      <c r="R86" s="282">
        <f>(H18-H22)/H23</f>
        <v>2.1008469764637709</v>
      </c>
      <c r="S86" s="297">
        <f>(I18-I22)/I23</f>
        <v>-0.49601343450917462</v>
      </c>
    </row>
    <row r="87" spans="11:19">
      <c r="K87" s="232" t="s">
        <v>175</v>
      </c>
      <c r="L87" s="233"/>
      <c r="M87" s="283">
        <f>C5/M88</f>
        <v>1.8132207021610258</v>
      </c>
      <c r="N87" s="284">
        <f>D5/N88</f>
        <v>2.8617314385835662</v>
      </c>
      <c r="O87" s="284">
        <f>E5/O88</f>
        <v>3.3722139908367739</v>
      </c>
      <c r="P87" s="284">
        <f>F5/P88</f>
        <v>2.1419300308257441</v>
      </c>
      <c r="Q87" s="284">
        <f>IFERROR(G5/Q88,"")</f>
        <v>1.9677720174825539</v>
      </c>
      <c r="R87" s="284">
        <f t="shared" ref="R87:S87" si="27">IFERROR(H5/R88,"")</f>
        <v>1.7104037810237211</v>
      </c>
      <c r="S87" s="298">
        <f t="shared" si="27"/>
        <v>1.429442244339012</v>
      </c>
    </row>
    <row r="88" spans="11:19" ht="15" thickBot="1">
      <c r="K88" s="150" t="s">
        <v>176</v>
      </c>
      <c r="L88" s="151"/>
      <c r="M88" s="152">
        <v>913.779</v>
      </c>
      <c r="N88" s="152">
        <v>1058.7149999999999</v>
      </c>
      <c r="O88" s="151">
        <v>1200.0139999999999</v>
      </c>
      <c r="P88" s="151">
        <v>1367.6880000000001</v>
      </c>
      <c r="Q88" s="155">
        <v>1917.34</v>
      </c>
      <c r="R88" s="155">
        <f>R17+R18+H22</f>
        <v>2329.951</v>
      </c>
      <c r="S88" s="299">
        <f>S17+S18+I22</f>
        <v>2448.1149999999998</v>
      </c>
    </row>
    <row r="89" spans="11:19">
      <c r="K89" s="145"/>
      <c r="O89" s="113"/>
      <c r="P89" s="113"/>
      <c r="Q89" s="113"/>
    </row>
    <row r="90" spans="11:19">
      <c r="O90" s="113"/>
      <c r="P90" s="113"/>
      <c r="Q90" s="113"/>
    </row>
    <row r="91" spans="11:19">
      <c r="K91" s="128"/>
      <c r="O91" s="113"/>
      <c r="P91" s="113"/>
      <c r="Q91" s="113"/>
    </row>
    <row r="92" spans="11:19">
      <c r="K92" s="128"/>
      <c r="O92" s="113"/>
      <c r="P92" s="154"/>
      <c r="Q92" s="154"/>
    </row>
    <row r="93" spans="11:19">
      <c r="O93" s="113"/>
      <c r="P93" s="113"/>
      <c r="Q93" s="113"/>
    </row>
    <row r="94" spans="11:19">
      <c r="O94" s="113"/>
      <c r="P94" s="113"/>
      <c r="Q94" s="113"/>
    </row>
    <row r="100" spans="14:14">
      <c r="N100" s="113"/>
    </row>
    <row r="101" spans="14:14">
      <c r="N101" s="113"/>
    </row>
    <row r="102" spans="14:14">
      <c r="N102" s="113"/>
    </row>
    <row r="103" spans="14:14">
      <c r="N103" s="113"/>
    </row>
  </sheetData>
  <mergeCells count="3">
    <mergeCell ref="K66:Q66"/>
    <mergeCell ref="K3:S3"/>
    <mergeCell ref="A3:I3"/>
  </mergeCells>
  <pageMargins left="0.7" right="0.7" top="0.75" bottom="0.75" header="0.3" footer="0.3"/>
  <pageSetup paperSize="9" scale="53" orientation="landscape" horizontalDpi="1200" verticalDpi="1200" r:id="rId1"/>
  <ignoredErrors>
    <ignoredError sqref="K66:Q66 K70:Q70 K67:P67 L68:P68 L89:Q89 K71:P71 K73:P75 K88:P88 L69:Q69 K77:P87 K76:L76 C51:G51 Q80:R82 S80:S82 C52:G52 L72:P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view="pageBreakPreview" topLeftCell="A19" zoomScale="90" zoomScaleSheetLayoutView="90" workbookViewId="0">
      <selection activeCell="F37" sqref="F37"/>
    </sheetView>
  </sheetViews>
  <sheetFormatPr defaultColWidth="9.109375" defaultRowHeight="11.4"/>
  <cols>
    <col min="1" max="1" width="45.44140625" style="2" customWidth="1"/>
    <col min="2" max="2" width="8.44140625" style="2" hidden="1" customWidth="1"/>
    <col min="3" max="3" width="11.109375" style="2" hidden="1" customWidth="1"/>
    <col min="4" max="4" width="13.33203125" style="2" bestFit="1" customWidth="1"/>
    <col min="5" max="5" width="13.109375" style="2" customWidth="1"/>
    <col min="6" max="6" width="13.44140625" style="2" customWidth="1"/>
    <col min="7" max="7" width="10.44140625" style="2" customWidth="1"/>
    <col min="8" max="8" width="35.6640625" style="2" customWidth="1"/>
    <col min="9" max="9" width="13.6640625" style="2" hidden="1" customWidth="1"/>
    <col min="10" max="10" width="13.6640625" style="49" hidden="1" customWidth="1"/>
    <col min="11" max="11" width="10.6640625" style="49" bestFit="1" customWidth="1"/>
    <col min="12" max="12" width="10.44140625" style="3" bestFit="1" customWidth="1"/>
    <col min="13" max="13" width="11.33203125" style="49" customWidth="1"/>
    <col min="14" max="14" width="9.109375" style="2"/>
    <col min="15" max="15" width="9.6640625" style="2" bestFit="1" customWidth="1"/>
    <col min="16" max="16384" width="9.109375" style="2"/>
  </cols>
  <sheetData>
    <row r="1" spans="1:15" ht="13.8">
      <c r="A1" s="324" t="s">
        <v>110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5" ht="12">
      <c r="A2" s="326" t="s">
        <v>77</v>
      </c>
      <c r="B2" s="327"/>
      <c r="C2" s="327"/>
      <c r="D2" s="327"/>
      <c r="E2" s="327"/>
      <c r="F2" s="328"/>
      <c r="G2" s="18"/>
      <c r="H2" s="329" t="s">
        <v>76</v>
      </c>
      <c r="I2" s="330"/>
      <c r="J2" s="330"/>
      <c r="K2" s="330"/>
      <c r="L2" s="330"/>
      <c r="M2" s="330"/>
    </row>
    <row r="3" spans="1:15" ht="12">
      <c r="A3" s="19" t="s">
        <v>0</v>
      </c>
      <c r="B3" s="16" t="s">
        <v>27</v>
      </c>
      <c r="C3" s="16" t="s">
        <v>28</v>
      </c>
      <c r="D3" s="16" t="s">
        <v>29</v>
      </c>
      <c r="E3" s="16" t="s">
        <v>72</v>
      </c>
      <c r="F3" s="16" t="s">
        <v>78</v>
      </c>
      <c r="G3" s="18"/>
      <c r="H3" s="20" t="s">
        <v>0</v>
      </c>
      <c r="I3" s="4" t="s">
        <v>27</v>
      </c>
      <c r="J3" s="75" t="s">
        <v>28</v>
      </c>
      <c r="K3" s="75" t="s">
        <v>29</v>
      </c>
      <c r="L3" s="76" t="s">
        <v>72</v>
      </c>
      <c r="M3" s="75" t="s">
        <v>78</v>
      </c>
    </row>
    <row r="4" spans="1:15" ht="12">
      <c r="A4" s="20" t="s">
        <v>79</v>
      </c>
      <c r="B4" s="21">
        <v>6912.23</v>
      </c>
      <c r="C4" s="21">
        <v>31.567</v>
      </c>
      <c r="D4" s="21">
        <v>33.67</v>
      </c>
      <c r="E4" s="8">
        <v>0</v>
      </c>
      <c r="F4" s="8">
        <v>15.002000000000001</v>
      </c>
      <c r="G4" s="22"/>
      <c r="H4" s="5" t="s">
        <v>80</v>
      </c>
      <c r="I4" s="10">
        <v>190.001</v>
      </c>
      <c r="J4" s="23">
        <v>35.799999999999997</v>
      </c>
      <c r="K4" s="23">
        <v>35.799999999999997</v>
      </c>
      <c r="L4" s="23">
        <f>175300000/1000000</f>
        <v>175.3</v>
      </c>
      <c r="M4" s="23">
        <f>175300000/1000000</f>
        <v>175.3</v>
      </c>
    </row>
    <row r="5" spans="1:15">
      <c r="A5" s="25" t="s">
        <v>1</v>
      </c>
      <c r="B5" s="11"/>
      <c r="C5" s="11"/>
      <c r="D5" s="11">
        <f t="shared" ref="D5:E5" si="0">(D4/C4-1)</f>
        <v>6.6620204644090464E-2</v>
      </c>
      <c r="E5" s="11">
        <f t="shared" si="0"/>
        <v>-1</v>
      </c>
      <c r="F5" s="11"/>
      <c r="G5" s="22"/>
      <c r="H5" s="5" t="s">
        <v>81</v>
      </c>
      <c r="I5" s="10">
        <f>1578.376+28.845</f>
        <v>1607.221</v>
      </c>
      <c r="J5" s="23">
        <v>5.9802109999999997</v>
      </c>
      <c r="K5" s="23">
        <v>7.2452769999999997</v>
      </c>
      <c r="L5" s="23">
        <v>419.87315799999999</v>
      </c>
      <c r="M5" s="23">
        <v>423.51691</v>
      </c>
    </row>
    <row r="6" spans="1:15" ht="12">
      <c r="A6" s="25" t="s">
        <v>82</v>
      </c>
      <c r="B6" s="11"/>
      <c r="C6" s="11"/>
      <c r="D6" s="11"/>
      <c r="E6" s="11"/>
      <c r="F6" s="11">
        <f>+((C4/F4)^(1/3)-1)</f>
        <v>0.28142949599527056</v>
      </c>
      <c r="H6" s="24" t="s">
        <v>30</v>
      </c>
      <c r="I6" s="9">
        <f t="shared" ref="I6:M6" si="1">(I4+I5)</f>
        <v>1797.222</v>
      </c>
      <c r="J6" s="9">
        <f t="shared" si="1"/>
        <v>41.780210999999994</v>
      </c>
      <c r="K6" s="9">
        <f t="shared" si="1"/>
        <v>43.045276999999999</v>
      </c>
      <c r="L6" s="9">
        <f t="shared" si="1"/>
        <v>595.17315800000006</v>
      </c>
      <c r="M6" s="9">
        <f t="shared" si="1"/>
        <v>598.81691000000001</v>
      </c>
    </row>
    <row r="7" spans="1:15" ht="12">
      <c r="A7" s="24" t="s">
        <v>2</v>
      </c>
      <c r="B7" s="9">
        <f t="shared" ref="B7:F7" si="2">SUM(B8:B12)</f>
        <v>6031.4109999999991</v>
      </c>
      <c r="C7" s="9">
        <f t="shared" si="2"/>
        <v>31.872999999999998</v>
      </c>
      <c r="D7" s="9">
        <f t="shared" si="2"/>
        <v>34.344000000000001</v>
      </c>
      <c r="E7" s="9">
        <f t="shared" si="2"/>
        <v>4.0910000000000002</v>
      </c>
      <c r="F7" s="9">
        <f t="shared" si="2"/>
        <v>18.211999999999996</v>
      </c>
      <c r="H7" s="5" t="s">
        <v>31</v>
      </c>
      <c r="I7" s="10"/>
      <c r="J7" s="23">
        <v>0</v>
      </c>
      <c r="K7" s="23">
        <v>0</v>
      </c>
      <c r="L7" s="23"/>
      <c r="M7" s="23"/>
      <c r="O7" s="28"/>
    </row>
    <row r="8" spans="1:15">
      <c r="A8" s="5" t="s">
        <v>83</v>
      </c>
      <c r="B8" s="10">
        <v>4379.5349999999999</v>
      </c>
      <c r="C8" s="10">
        <v>0</v>
      </c>
      <c r="D8" s="10">
        <v>0</v>
      </c>
      <c r="E8" s="23">
        <v>0</v>
      </c>
      <c r="F8" s="23">
        <v>0</v>
      </c>
      <c r="H8" s="5" t="s">
        <v>32</v>
      </c>
      <c r="I8" s="10">
        <v>4955.598</v>
      </c>
      <c r="J8" s="23">
        <v>0</v>
      </c>
      <c r="K8" s="23">
        <v>0</v>
      </c>
      <c r="L8" s="23">
        <v>0</v>
      </c>
      <c r="M8" s="23">
        <v>0</v>
      </c>
    </row>
    <row r="9" spans="1:15">
      <c r="A9" s="5" t="s">
        <v>111</v>
      </c>
      <c r="B9" s="10">
        <v>72.775000000000006</v>
      </c>
      <c r="C9" s="10">
        <v>16.326000000000001</v>
      </c>
      <c r="D9" s="10">
        <v>27.135000000000002</v>
      </c>
      <c r="E9" s="23">
        <v>0</v>
      </c>
      <c r="F9" s="23">
        <v>14.773999999999999</v>
      </c>
      <c r="H9" s="5" t="s">
        <v>33</v>
      </c>
      <c r="I9" s="10">
        <v>1652.4570000000001</v>
      </c>
      <c r="J9" s="23">
        <v>0</v>
      </c>
      <c r="K9" s="23">
        <v>0</v>
      </c>
      <c r="L9" s="23">
        <v>0</v>
      </c>
      <c r="M9" s="23">
        <v>0</v>
      </c>
      <c r="N9" s="28"/>
    </row>
    <row r="10" spans="1:15" ht="12">
      <c r="A10" s="5" t="s">
        <v>120</v>
      </c>
      <c r="B10" s="10"/>
      <c r="C10" s="10">
        <v>12.159000000000001</v>
      </c>
      <c r="D10" s="10">
        <v>4.9859999999999998</v>
      </c>
      <c r="E10" s="23">
        <v>0</v>
      </c>
      <c r="F10" s="23">
        <v>0</v>
      </c>
      <c r="H10" s="24" t="s">
        <v>34</v>
      </c>
      <c r="I10" s="9">
        <f t="shared" ref="I10:M10" si="3">(I8+I9)</f>
        <v>6608.0550000000003</v>
      </c>
      <c r="J10" s="9">
        <f t="shared" si="3"/>
        <v>0</v>
      </c>
      <c r="K10" s="9">
        <f t="shared" si="3"/>
        <v>0</v>
      </c>
      <c r="L10" s="9">
        <f t="shared" si="3"/>
        <v>0</v>
      </c>
      <c r="M10" s="9">
        <f t="shared" si="3"/>
        <v>0</v>
      </c>
    </row>
    <row r="11" spans="1:15" ht="12">
      <c r="A11" s="5" t="s">
        <v>58</v>
      </c>
      <c r="B11" s="10">
        <v>640.47699999999998</v>
      </c>
      <c r="C11" s="10">
        <v>0.81399999999999995</v>
      </c>
      <c r="D11" s="10">
        <v>0.93400000000000005</v>
      </c>
      <c r="E11" s="23">
        <v>1.175</v>
      </c>
      <c r="F11" s="23">
        <v>1.3640000000000001</v>
      </c>
      <c r="H11" s="24" t="s">
        <v>35</v>
      </c>
      <c r="I11" s="9">
        <f>(I6+I8+I7+I46+I43+I44)</f>
        <v>7029.6509999999998</v>
      </c>
      <c r="J11" s="9">
        <f>(J6+J8+J7+J46+J43+J44)</f>
        <v>41.782278999999996</v>
      </c>
      <c r="K11" s="9">
        <f>(K6+K8+K7+K46+K43+K44+K45)</f>
        <v>43.045451999999997</v>
      </c>
      <c r="L11" s="9">
        <f>(L6+L8+L7+L46+L43+L44+L45)</f>
        <v>595.17315800000006</v>
      </c>
      <c r="M11" s="9">
        <f>(M6+M8+M7+M46+M43+M44+M45)</f>
        <v>598.81696899999997</v>
      </c>
    </row>
    <row r="12" spans="1:15" ht="12">
      <c r="A12" s="5" t="s">
        <v>60</v>
      </c>
      <c r="B12" s="10">
        <v>938.62400000000002</v>
      </c>
      <c r="C12" s="10">
        <v>2.5739999999999998</v>
      </c>
      <c r="D12" s="10">
        <v>1.2889999999999999</v>
      </c>
      <c r="E12" s="23">
        <v>2.9159999999999999</v>
      </c>
      <c r="F12" s="23">
        <v>2.0739999999999998</v>
      </c>
      <c r="H12" s="24" t="s">
        <v>35</v>
      </c>
      <c r="I12" s="9">
        <f t="shared" ref="I12:M12" si="4">I48-I36-I9</f>
        <v>2958.2479999999996</v>
      </c>
      <c r="J12" s="9">
        <f t="shared" si="4"/>
        <v>41.782279000000003</v>
      </c>
      <c r="K12" s="9">
        <f t="shared" si="4"/>
        <v>43.068157999999997</v>
      </c>
      <c r="L12" s="9">
        <f t="shared" si="4"/>
        <v>595.17321800000002</v>
      </c>
      <c r="M12" s="9">
        <f t="shared" si="4"/>
        <v>599.01720819999991</v>
      </c>
      <c r="O12" s="3"/>
    </row>
    <row r="13" spans="1:15" ht="12">
      <c r="A13" s="24" t="s">
        <v>3</v>
      </c>
      <c r="B13" s="9" t="e">
        <f>(#REF!-B7)</f>
        <v>#REF!</v>
      </c>
      <c r="C13" s="9">
        <f>(C4-C7)</f>
        <v>-0.30599999999999739</v>
      </c>
      <c r="D13" s="9">
        <f>(D4-D7)</f>
        <v>-0.67399999999999949</v>
      </c>
      <c r="E13" s="9">
        <f>(E4-E7)</f>
        <v>-4.0910000000000002</v>
      </c>
      <c r="F13" s="9">
        <f>(F4-F7)</f>
        <v>-3.2099999999999955</v>
      </c>
      <c r="H13" s="5"/>
      <c r="I13" s="23"/>
      <c r="J13" s="23"/>
      <c r="K13" s="23"/>
      <c r="L13" s="23"/>
      <c r="M13" s="23"/>
      <c r="N13" s="3"/>
    </row>
    <row r="14" spans="1:15">
      <c r="A14" s="25" t="s">
        <v>1</v>
      </c>
      <c r="B14" s="11"/>
      <c r="C14" s="11"/>
      <c r="D14" s="11">
        <f t="shared" ref="D14:F14" si="5">(D13/C13-1)</f>
        <v>1.2026143790849844</v>
      </c>
      <c r="E14" s="11">
        <f t="shared" si="5"/>
        <v>5.0697329376854645</v>
      </c>
      <c r="F14" s="11">
        <f t="shared" si="5"/>
        <v>-0.21535076998289038</v>
      </c>
      <c r="I14" s="26"/>
      <c r="J14" s="77"/>
      <c r="K14" s="77"/>
      <c r="L14" s="78"/>
      <c r="M14" s="78"/>
    </row>
    <row r="15" spans="1:15">
      <c r="A15" s="25" t="s">
        <v>82</v>
      </c>
      <c r="B15" s="11"/>
      <c r="C15" s="11"/>
      <c r="D15" s="11"/>
      <c r="E15" s="11"/>
      <c r="F15" s="11">
        <f>+((F13/C13)^(1/3)-1)</f>
        <v>1.1890778265717628</v>
      </c>
      <c r="H15" s="5" t="s">
        <v>84</v>
      </c>
      <c r="I15" s="10">
        <v>4353.3829999999998</v>
      </c>
      <c r="J15" s="23">
        <v>8.6829999999999997E-3</v>
      </c>
      <c r="K15" s="23">
        <v>0</v>
      </c>
      <c r="L15" s="23">
        <v>0</v>
      </c>
      <c r="M15" s="23">
        <v>0</v>
      </c>
    </row>
    <row r="16" spans="1:15" ht="12">
      <c r="A16" s="24" t="s">
        <v>4</v>
      </c>
      <c r="B16" s="27" t="e">
        <f>(B13/#REF!)</f>
        <v>#REF!</v>
      </c>
      <c r="C16" s="27">
        <f>(C13/C4)</f>
        <v>-9.6936674375137765E-3</v>
      </c>
      <c r="D16" s="27">
        <f>(D13/D4)</f>
        <v>-2.0017820017820001E-2</v>
      </c>
      <c r="E16" s="27" t="e">
        <f>(E13/E4)</f>
        <v>#DIV/0!</v>
      </c>
      <c r="F16" s="27">
        <f>(F13/F4)</f>
        <v>-0.21397147047060361</v>
      </c>
      <c r="H16" s="5" t="s">
        <v>85</v>
      </c>
      <c r="I16" s="10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5">
      <c r="A17" s="5" t="s">
        <v>87</v>
      </c>
      <c r="B17" s="10">
        <v>365.72800000000001</v>
      </c>
      <c r="C17" s="10">
        <v>0</v>
      </c>
      <c r="D17" s="10">
        <v>8.9999999999999993E-3</v>
      </c>
      <c r="E17" s="23">
        <v>0</v>
      </c>
      <c r="F17" s="23">
        <v>0</v>
      </c>
      <c r="H17" s="5" t="s">
        <v>103</v>
      </c>
      <c r="I17" s="10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5">
      <c r="A18" s="5" t="s">
        <v>88</v>
      </c>
      <c r="B18" s="10">
        <v>802.21900000000005</v>
      </c>
      <c r="C18" s="10">
        <v>0</v>
      </c>
      <c r="D18" s="10">
        <v>0</v>
      </c>
      <c r="E18" s="23">
        <v>0</v>
      </c>
      <c r="F18" s="23">
        <v>0</v>
      </c>
      <c r="H18" s="5" t="s">
        <v>104</v>
      </c>
      <c r="I18" s="10">
        <v>1961.405</v>
      </c>
      <c r="J18" s="23">
        <v>0</v>
      </c>
      <c r="K18" s="23">
        <v>0</v>
      </c>
      <c r="L18" s="23">
        <v>0</v>
      </c>
      <c r="M18" s="23">
        <v>0</v>
      </c>
    </row>
    <row r="19" spans="1:15">
      <c r="A19" s="5" t="s">
        <v>90</v>
      </c>
      <c r="B19" s="10">
        <v>0</v>
      </c>
      <c r="C19" s="10">
        <v>0</v>
      </c>
      <c r="D19" s="10">
        <v>0</v>
      </c>
      <c r="E19" s="23">
        <v>0</v>
      </c>
      <c r="F19" s="23">
        <v>0</v>
      </c>
      <c r="H19" s="5" t="s">
        <v>105</v>
      </c>
      <c r="I19" s="10"/>
      <c r="J19" s="23">
        <v>0</v>
      </c>
      <c r="K19" s="23">
        <v>0</v>
      </c>
      <c r="L19" s="23">
        <v>0</v>
      </c>
      <c r="M19" s="23">
        <v>0</v>
      </c>
      <c r="O19" s="3"/>
    </row>
    <row r="20" spans="1:15">
      <c r="A20" s="5" t="s">
        <v>5</v>
      </c>
      <c r="B20" s="10">
        <v>8.9009999999999998</v>
      </c>
      <c r="C20" s="10">
        <v>0.754</v>
      </c>
      <c r="D20" s="10">
        <v>2.6280000000000001</v>
      </c>
      <c r="E20" s="23">
        <v>15.356999999999999</v>
      </c>
      <c r="F20" s="23">
        <v>11.573</v>
      </c>
      <c r="H20" s="5" t="s">
        <v>86</v>
      </c>
      <c r="I20" s="10"/>
      <c r="J20" s="23"/>
      <c r="K20" s="23"/>
      <c r="L20" s="23"/>
      <c r="M20" s="23"/>
    </row>
    <row r="21" spans="1:15" ht="12">
      <c r="A21" s="24" t="s">
        <v>6</v>
      </c>
      <c r="B21" s="9" t="e">
        <f t="shared" ref="B21:E21" si="6">(B13-B17-B18+B19+B20)</f>
        <v>#REF!</v>
      </c>
      <c r="C21" s="9">
        <f t="shared" si="6"/>
        <v>0.44800000000000262</v>
      </c>
      <c r="D21" s="9">
        <f>(D13-D17-D18+D19+D20)</f>
        <v>1.9450000000000007</v>
      </c>
      <c r="E21" s="9">
        <f t="shared" si="6"/>
        <v>11.265999999999998</v>
      </c>
      <c r="F21" s="9">
        <f>(F13-F17-F18+F19+F20)</f>
        <v>8.3630000000000049</v>
      </c>
      <c r="H21" s="5" t="s">
        <v>112</v>
      </c>
      <c r="I21" s="10"/>
      <c r="J21" s="23">
        <v>0</v>
      </c>
      <c r="K21" s="23">
        <v>0.31923899999999999</v>
      </c>
      <c r="L21" s="23">
        <f>406171857/1000000</f>
        <v>406.17185699999999</v>
      </c>
      <c r="M21" s="23">
        <v>0</v>
      </c>
    </row>
    <row r="22" spans="1:15">
      <c r="A22" s="5" t="s">
        <v>7</v>
      </c>
      <c r="B22" s="10">
        <v>6.3959999999999999</v>
      </c>
      <c r="C22" s="10">
        <f>0.002-0.084</f>
        <v>-8.2000000000000003E-2</v>
      </c>
      <c r="D22" s="10">
        <f>0.59-0.002</f>
        <v>0.58799999999999997</v>
      </c>
      <c r="E22" s="23">
        <v>3.1880000000000002</v>
      </c>
      <c r="F22" s="23">
        <v>2.19</v>
      </c>
      <c r="G22" s="28"/>
      <c r="H22" s="5" t="s">
        <v>106</v>
      </c>
      <c r="I22" s="10"/>
      <c r="J22" s="23">
        <v>0</v>
      </c>
      <c r="K22" s="23">
        <v>0</v>
      </c>
      <c r="L22" s="23">
        <v>0</v>
      </c>
      <c r="M22" s="23">
        <v>0</v>
      </c>
    </row>
    <row r="23" spans="1:15">
      <c r="A23" s="25" t="s">
        <v>8</v>
      </c>
      <c r="B23" s="11">
        <v>0</v>
      </c>
      <c r="C23" s="11">
        <f>(C22/C21)</f>
        <v>-0.18303571428571322</v>
      </c>
      <c r="D23" s="11">
        <f>(D22/D21)</f>
        <v>0.30231362467866313</v>
      </c>
      <c r="E23" s="11">
        <f>(E22/E21)</f>
        <v>0.28297532398366776</v>
      </c>
      <c r="F23" s="11">
        <f>(F22/F21)</f>
        <v>0.26186775080712649</v>
      </c>
      <c r="H23" s="5" t="s">
        <v>89</v>
      </c>
      <c r="I23" s="10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5" ht="12">
      <c r="A24" s="24" t="s">
        <v>9</v>
      </c>
      <c r="B24" s="9" t="e">
        <f t="shared" ref="B24:E24" si="7">(B21-B22)</f>
        <v>#REF!</v>
      </c>
      <c r="C24" s="9">
        <f t="shared" si="7"/>
        <v>0.53000000000000258</v>
      </c>
      <c r="D24" s="9">
        <f t="shared" si="7"/>
        <v>1.3570000000000007</v>
      </c>
      <c r="E24" s="9">
        <f t="shared" si="7"/>
        <v>8.0779999999999976</v>
      </c>
      <c r="F24" s="9">
        <f>(F21-F22)</f>
        <v>6.1730000000000054</v>
      </c>
      <c r="H24" s="5" t="s">
        <v>107</v>
      </c>
      <c r="I24" s="10">
        <v>220.53899999999999</v>
      </c>
      <c r="J24" s="23">
        <v>3.944709</v>
      </c>
      <c r="K24" s="23"/>
      <c r="L24" s="23">
        <v>0</v>
      </c>
      <c r="M24" s="23">
        <v>0</v>
      </c>
    </row>
    <row r="25" spans="1:15" ht="12">
      <c r="A25" s="24" t="s">
        <v>70</v>
      </c>
      <c r="B25" s="29">
        <v>0</v>
      </c>
      <c r="C25" s="29">
        <f>C24/C4</f>
        <v>1.678968543098814E-2</v>
      </c>
      <c r="D25" s="29">
        <f>D24/D4</f>
        <v>4.0302940302940321E-2</v>
      </c>
      <c r="E25" s="29" t="e">
        <f>E24/E4</f>
        <v>#DIV/0!</v>
      </c>
      <c r="F25" s="29">
        <f>F24/F4</f>
        <v>0.41147846953739536</v>
      </c>
      <c r="H25" s="5" t="s">
        <v>91</v>
      </c>
      <c r="I25" s="10">
        <v>7.9480000000000004</v>
      </c>
      <c r="J25" s="23">
        <v>0</v>
      </c>
      <c r="K25" s="23">
        <v>0</v>
      </c>
      <c r="L25" s="23">
        <v>0</v>
      </c>
      <c r="M25" s="23">
        <v>0</v>
      </c>
    </row>
    <row r="26" spans="1:15" ht="12">
      <c r="A26" s="5" t="s">
        <v>10</v>
      </c>
      <c r="B26" s="1"/>
      <c r="C26" s="1">
        <v>0</v>
      </c>
      <c r="D26" s="1">
        <v>0</v>
      </c>
      <c r="E26" s="1">
        <v>0</v>
      </c>
      <c r="F26" s="1">
        <v>0</v>
      </c>
      <c r="H26" s="24" t="s">
        <v>36</v>
      </c>
      <c r="I26" s="9">
        <f t="shared" ref="I26:M26" si="8">SUM(I27:I35)</f>
        <v>1509.585</v>
      </c>
      <c r="J26" s="9">
        <f t="shared" si="8"/>
        <v>37.969014999999999</v>
      </c>
      <c r="K26" s="9">
        <f t="shared" si="8"/>
        <v>48.662321999999996</v>
      </c>
      <c r="L26" s="9">
        <f t="shared" si="8"/>
        <v>191.56921400000002</v>
      </c>
      <c r="M26" s="9">
        <f t="shared" si="8"/>
        <v>614.82621799999993</v>
      </c>
    </row>
    <row r="27" spans="1:15">
      <c r="A27" s="5" t="s">
        <v>93</v>
      </c>
      <c r="B27" s="1">
        <v>825.95399999999995</v>
      </c>
      <c r="C27" s="1">
        <v>0</v>
      </c>
      <c r="D27" s="1">
        <v>0</v>
      </c>
      <c r="E27" s="1">
        <v>0</v>
      </c>
      <c r="F27" s="1">
        <v>0</v>
      </c>
      <c r="H27" s="5" t="s">
        <v>37</v>
      </c>
      <c r="I27" s="10">
        <v>1395.806</v>
      </c>
      <c r="J27" s="23">
        <v>4.9856959999999999</v>
      </c>
      <c r="K27" s="23">
        <v>0</v>
      </c>
      <c r="L27" s="23"/>
      <c r="M27" s="23">
        <v>0</v>
      </c>
    </row>
    <row r="28" spans="1:15">
      <c r="A28" s="5" t="s">
        <v>61</v>
      </c>
      <c r="B28" s="1"/>
      <c r="C28" s="1">
        <v>0</v>
      </c>
      <c r="D28" s="1">
        <v>0</v>
      </c>
      <c r="E28" s="1">
        <v>0</v>
      </c>
      <c r="F28" s="1">
        <v>-0.40200000000000002</v>
      </c>
      <c r="H28" s="5" t="s">
        <v>86</v>
      </c>
      <c r="I28" s="10"/>
      <c r="J28" s="23"/>
      <c r="K28" s="23"/>
      <c r="L28" s="23"/>
      <c r="M28" s="23"/>
    </row>
    <row r="29" spans="1:15" ht="12">
      <c r="A29" s="24" t="s">
        <v>94</v>
      </c>
      <c r="B29" s="30" t="e">
        <f t="shared" ref="B29:F29" si="9">(B24-B26+B28+B27)</f>
        <v>#REF!</v>
      </c>
      <c r="C29" s="30">
        <f t="shared" si="9"/>
        <v>0.53000000000000258</v>
      </c>
      <c r="D29" s="30">
        <f>(D24-D26+D28+D27)</f>
        <v>1.3570000000000007</v>
      </c>
      <c r="E29" s="30">
        <f t="shared" si="9"/>
        <v>8.0779999999999976</v>
      </c>
      <c r="F29" s="30">
        <f t="shared" si="9"/>
        <v>5.7710000000000052</v>
      </c>
      <c r="G29" s="28"/>
      <c r="H29" s="5" t="s">
        <v>112</v>
      </c>
      <c r="I29" s="10"/>
      <c r="J29" s="23">
        <v>0</v>
      </c>
      <c r="K29" s="23"/>
      <c r="L29" s="23"/>
      <c r="M29" s="23">
        <v>491.25065000000001</v>
      </c>
      <c r="N29" s="3"/>
    </row>
    <row r="30" spans="1:15">
      <c r="A30" s="25" t="s">
        <v>1</v>
      </c>
      <c r="B30" s="11"/>
      <c r="C30" s="11"/>
      <c r="D30" s="11">
        <f t="shared" ref="D30" si="10">(D29/C29-1)</f>
        <v>1.5603773584905549</v>
      </c>
      <c r="E30" s="11">
        <f>(E29/D29-1)</f>
        <v>4.9528371407516536</v>
      </c>
      <c r="F30" s="11">
        <f>(F29/E29-1)</f>
        <v>-0.28559049269621106</v>
      </c>
      <c r="H30" s="5" t="s">
        <v>113</v>
      </c>
      <c r="I30" s="10">
        <v>0</v>
      </c>
      <c r="J30" s="23">
        <v>0</v>
      </c>
      <c r="K30" s="23">
        <v>8.6259099999999993</v>
      </c>
      <c r="L30" s="23"/>
      <c r="M30" s="23">
        <v>17.946981999999998</v>
      </c>
    </row>
    <row r="31" spans="1:15">
      <c r="A31" s="25" t="s">
        <v>95</v>
      </c>
      <c r="B31" s="11"/>
      <c r="C31" s="11"/>
      <c r="D31" s="11"/>
      <c r="E31" s="11"/>
      <c r="F31" s="11">
        <f>+((F29/C29)^(1/3)-1)</f>
        <v>1.2164523624269639</v>
      </c>
      <c r="H31" s="5" t="s">
        <v>92</v>
      </c>
      <c r="I31" s="10">
        <v>100.908</v>
      </c>
      <c r="J31" s="23">
        <v>1.79186</v>
      </c>
      <c r="K31" s="23">
        <v>3.5168940000000002</v>
      </c>
      <c r="L31" s="23">
        <f>90331209/1000000</f>
        <v>90.331209000000001</v>
      </c>
      <c r="M31" s="23">
        <v>17.685472000000001</v>
      </c>
    </row>
    <row r="32" spans="1:15" ht="12">
      <c r="A32" s="20" t="s">
        <v>11</v>
      </c>
      <c r="B32" s="12">
        <v>5.22</v>
      </c>
      <c r="C32" s="12">
        <v>0.15</v>
      </c>
      <c r="D32" s="12">
        <v>0.38</v>
      </c>
      <c r="E32" s="12">
        <v>2.14</v>
      </c>
      <c r="F32" s="12">
        <v>0.35</v>
      </c>
      <c r="H32" s="5" t="s">
        <v>115</v>
      </c>
      <c r="I32" s="10">
        <v>0</v>
      </c>
      <c r="J32" s="23">
        <v>4.0447800000000003</v>
      </c>
      <c r="K32" s="23">
        <v>36.279662999999999</v>
      </c>
      <c r="L32" s="23">
        <f>101111936/1000000</f>
        <v>101.111936</v>
      </c>
      <c r="M32" s="23">
        <v>87.688902999999996</v>
      </c>
    </row>
    <row r="33" spans="1:13">
      <c r="A33" s="31" t="s">
        <v>1</v>
      </c>
      <c r="B33" s="32"/>
      <c r="C33" s="32"/>
      <c r="D33" s="32">
        <f t="shared" ref="D33" si="11">(D32/C32-1)</f>
        <v>1.5333333333333337</v>
      </c>
      <c r="E33" s="32">
        <f>(E32/D32-1)</f>
        <v>4.6315789473684212</v>
      </c>
      <c r="F33" s="32">
        <f>(F32/E32-1)</f>
        <v>-0.83644859813084116</v>
      </c>
      <c r="H33" s="5" t="s">
        <v>114</v>
      </c>
      <c r="I33" s="10">
        <v>12.871</v>
      </c>
      <c r="J33" s="23">
        <v>0</v>
      </c>
      <c r="K33" s="23">
        <v>0</v>
      </c>
      <c r="L33" s="23"/>
      <c r="M33" s="23">
        <v>0.127</v>
      </c>
    </row>
    <row r="34" spans="1:13">
      <c r="A34" s="31" t="s">
        <v>95</v>
      </c>
      <c r="B34" s="33"/>
      <c r="C34" s="33"/>
      <c r="D34" s="61"/>
      <c r="E34" s="11"/>
      <c r="F34" s="11">
        <f>+((F32/C32)^(1/3)-1)</f>
        <v>0.32635240263213072</v>
      </c>
      <c r="H34" s="5" t="s">
        <v>59</v>
      </c>
      <c r="I34" s="10"/>
      <c r="J34" s="23">
        <v>27.146678999999999</v>
      </c>
      <c r="K34" s="23">
        <v>0.23985500000000001</v>
      </c>
      <c r="L34" s="23">
        <v>0.12606899999999999</v>
      </c>
      <c r="M34" s="23">
        <v>0.12721099999999999</v>
      </c>
    </row>
    <row r="35" spans="1:13" ht="12">
      <c r="G35" s="18"/>
      <c r="H35" s="5" t="s">
        <v>108</v>
      </c>
      <c r="I35" s="10"/>
      <c r="J35" s="23"/>
      <c r="K35" s="23"/>
      <c r="L35" s="23"/>
      <c r="M35" s="23">
        <v>0</v>
      </c>
    </row>
    <row r="36" spans="1:13" ht="12">
      <c r="G36" s="18"/>
      <c r="H36" s="24" t="s">
        <v>38</v>
      </c>
      <c r="I36" s="9">
        <f t="shared" ref="I36:M36" si="12">SUM(I37:I41)</f>
        <v>3442.1549999999993</v>
      </c>
      <c r="J36" s="9">
        <f t="shared" si="12"/>
        <v>0.140128</v>
      </c>
      <c r="K36" s="9">
        <f t="shared" si="12"/>
        <v>5.9134029999999997</v>
      </c>
      <c r="L36" s="9">
        <f t="shared" si="12"/>
        <v>2.5678529999999999</v>
      </c>
      <c r="M36" s="9">
        <f t="shared" si="12"/>
        <v>15.809009799999998</v>
      </c>
    </row>
    <row r="37" spans="1:13" ht="12">
      <c r="A37" s="18" t="s">
        <v>12</v>
      </c>
      <c r="G37" s="18"/>
      <c r="H37" s="5" t="s">
        <v>96</v>
      </c>
      <c r="I37" s="10"/>
      <c r="J37" s="23"/>
      <c r="K37" s="23"/>
      <c r="L37" s="23"/>
      <c r="M37" s="23"/>
    </row>
    <row r="38" spans="1:13" ht="12">
      <c r="A38" s="20" t="s">
        <v>0</v>
      </c>
      <c r="B38" s="17" t="s">
        <v>27</v>
      </c>
      <c r="C38" s="17" t="s">
        <v>28</v>
      </c>
      <c r="D38" s="81" t="s">
        <v>29</v>
      </c>
      <c r="E38" s="81" t="s">
        <v>72</v>
      </c>
      <c r="F38" s="34"/>
      <c r="G38" s="18"/>
      <c r="H38" s="5" t="s">
        <v>97</v>
      </c>
      <c r="I38" s="10">
        <v>1119.2059999999999</v>
      </c>
      <c r="J38" s="23">
        <v>0</v>
      </c>
      <c r="K38" s="23">
        <v>5.4175649999999997</v>
      </c>
      <c r="L38" s="23">
        <v>1.2334350000000001</v>
      </c>
      <c r="M38" s="23">
        <v>14.822642999999999</v>
      </c>
    </row>
    <row r="39" spans="1:13" ht="12">
      <c r="A39" s="20" t="s">
        <v>13</v>
      </c>
      <c r="B39" s="8">
        <v>65.924000000000007</v>
      </c>
      <c r="C39" s="48"/>
      <c r="D39" s="62">
        <v>2.0699999999999998</v>
      </c>
      <c r="E39" s="62">
        <v>3.5689299999999999</v>
      </c>
      <c r="F39" s="56"/>
      <c r="H39" s="5" t="s">
        <v>116</v>
      </c>
      <c r="I39" s="10">
        <v>2302.5369999999998</v>
      </c>
      <c r="J39" s="23">
        <v>6.3249999999999999E-3</v>
      </c>
      <c r="K39" s="23">
        <v>0</v>
      </c>
      <c r="L39" s="23">
        <v>0.44413200000000003</v>
      </c>
      <c r="M39" s="23">
        <v>2.2248799999999999E-2</v>
      </c>
    </row>
    <row r="40" spans="1:13" ht="12">
      <c r="A40" s="20" t="s">
        <v>14</v>
      </c>
      <c r="B40" s="21">
        <v>1688.242</v>
      </c>
      <c r="C40" s="45"/>
      <c r="D40" s="62">
        <v>30</v>
      </c>
      <c r="E40" s="62">
        <v>6.53437</v>
      </c>
      <c r="F40" s="56"/>
      <c r="H40" s="5" t="s">
        <v>117</v>
      </c>
      <c r="I40" s="10">
        <v>20.411999999999999</v>
      </c>
      <c r="J40" s="23"/>
      <c r="K40" s="23"/>
      <c r="L40" s="23">
        <v>0.89028600000000002</v>
      </c>
      <c r="M40" s="23">
        <v>0.96411800000000003</v>
      </c>
    </row>
    <row r="41" spans="1:13">
      <c r="A41" s="5" t="s">
        <v>69</v>
      </c>
      <c r="B41" s="10">
        <v>-1200.932</v>
      </c>
      <c r="C41" s="46"/>
      <c r="D41" s="74">
        <v>3.62547</v>
      </c>
      <c r="E41" s="74">
        <v>-61.6</v>
      </c>
      <c r="F41" s="57"/>
      <c r="H41" s="5" t="s">
        <v>109</v>
      </c>
      <c r="I41" s="10">
        <v>0</v>
      </c>
      <c r="J41" s="23">
        <v>0.13380300000000001</v>
      </c>
      <c r="K41" s="23">
        <v>0.495838</v>
      </c>
      <c r="L41" s="23"/>
      <c r="M41" s="23">
        <v>0</v>
      </c>
    </row>
    <row r="42" spans="1:13" ht="12">
      <c r="A42" s="5" t="s">
        <v>15</v>
      </c>
      <c r="B42" s="10">
        <v>-452.32600000000002</v>
      </c>
      <c r="C42" s="46"/>
      <c r="D42" s="74">
        <v>32.200000000000003</v>
      </c>
      <c r="E42" s="74">
        <v>14.190028999999999</v>
      </c>
      <c r="F42" s="57"/>
      <c r="H42" s="24" t="s">
        <v>39</v>
      </c>
      <c r="I42" s="9">
        <f t="shared" ref="I42:M42" si="13">(I26-I36-I9)</f>
        <v>-3585.0269999999991</v>
      </c>
      <c r="J42" s="9">
        <f t="shared" si="13"/>
        <v>37.828887000000002</v>
      </c>
      <c r="K42" s="9">
        <f t="shared" si="13"/>
        <v>42.748918999999994</v>
      </c>
      <c r="L42" s="9">
        <f t="shared" si="13"/>
        <v>189.001361</v>
      </c>
      <c r="M42" s="9">
        <f t="shared" si="13"/>
        <v>599.01720819999991</v>
      </c>
    </row>
    <row r="43" spans="1:13" ht="12">
      <c r="A43" s="20" t="s">
        <v>16</v>
      </c>
      <c r="B43" s="21">
        <f t="shared" ref="B43" si="14">+B40+B41+B42</f>
        <v>34.983999999999924</v>
      </c>
      <c r="C43" s="45"/>
      <c r="D43" s="82">
        <v>1.4</v>
      </c>
      <c r="E43" s="82">
        <v>86.143000000000001</v>
      </c>
      <c r="F43" s="56"/>
      <c r="H43" s="5" t="s">
        <v>100</v>
      </c>
      <c r="I43" s="10">
        <v>0</v>
      </c>
      <c r="J43" s="23">
        <v>0</v>
      </c>
      <c r="K43" s="23">
        <v>0</v>
      </c>
      <c r="L43" s="23"/>
      <c r="M43" s="23"/>
    </row>
    <row r="44" spans="1:13" ht="12">
      <c r="A44" s="20" t="s">
        <v>62</v>
      </c>
      <c r="B44" s="9">
        <f t="shared" ref="B44:E44" si="15">+B39+B43</f>
        <v>100.90799999999993</v>
      </c>
      <c r="C44" s="9">
        <f t="shared" si="15"/>
        <v>0</v>
      </c>
      <c r="D44" s="64">
        <f t="shared" si="15"/>
        <v>3.4699999999999998</v>
      </c>
      <c r="E44" s="83">
        <f t="shared" si="15"/>
        <v>89.711929999999995</v>
      </c>
      <c r="F44" s="56"/>
      <c r="H44" s="5" t="s">
        <v>101</v>
      </c>
      <c r="I44" s="10">
        <v>276.83100000000002</v>
      </c>
      <c r="J44" s="23">
        <v>2.068E-3</v>
      </c>
      <c r="K44" s="23">
        <v>1.75E-4</v>
      </c>
      <c r="L44" s="23">
        <v>0</v>
      </c>
      <c r="M44" s="23">
        <v>5.8999999999999998E-5</v>
      </c>
    </row>
    <row r="45" spans="1:13">
      <c r="C45" s="49"/>
      <c r="D45" s="49"/>
      <c r="E45" s="49"/>
      <c r="F45" s="49"/>
      <c r="H45" s="5" t="s">
        <v>102</v>
      </c>
      <c r="I45" s="10"/>
      <c r="J45" s="23">
        <v>0</v>
      </c>
      <c r="K45" s="79">
        <v>0</v>
      </c>
      <c r="L45" s="23">
        <v>0</v>
      </c>
      <c r="M45" s="23">
        <v>0</v>
      </c>
    </row>
    <row r="46" spans="1:13" ht="12">
      <c r="A46" s="35" t="s">
        <v>17</v>
      </c>
      <c r="B46" s="17" t="s">
        <v>27</v>
      </c>
      <c r="C46" s="17" t="s">
        <v>28</v>
      </c>
      <c r="D46" s="17" t="s">
        <v>29</v>
      </c>
      <c r="E46" s="17" t="s">
        <v>72</v>
      </c>
      <c r="F46" s="17" t="s">
        <v>78</v>
      </c>
      <c r="H46" s="5"/>
      <c r="I46" s="10">
        <v>0</v>
      </c>
      <c r="J46" s="23"/>
      <c r="K46" s="23"/>
      <c r="L46" s="23"/>
      <c r="M46" s="23"/>
    </row>
    <row r="47" spans="1:13" ht="12">
      <c r="A47" s="5" t="s">
        <v>18</v>
      </c>
      <c r="B47" s="36" t="e">
        <f>B21</f>
        <v>#REF!</v>
      </c>
      <c r="C47" s="13">
        <v>295.11599999999896</v>
      </c>
      <c r="D47" s="13">
        <f>D21</f>
        <v>1.9450000000000007</v>
      </c>
      <c r="E47" s="13">
        <f>E21</f>
        <v>11.265999999999998</v>
      </c>
      <c r="F47" s="13">
        <f>F21</f>
        <v>8.3630000000000049</v>
      </c>
      <c r="H47" s="20"/>
      <c r="I47" s="8"/>
      <c r="J47" s="8"/>
      <c r="K47" s="8"/>
      <c r="L47" s="8"/>
      <c r="M47" s="8"/>
    </row>
    <row r="48" spans="1:13" ht="12">
      <c r="A48" s="5" t="s">
        <v>19</v>
      </c>
      <c r="B48" s="36">
        <f>B17</f>
        <v>365.72800000000001</v>
      </c>
      <c r="C48" s="13">
        <v>268.62599999999998</v>
      </c>
      <c r="D48" s="13">
        <f>D17</f>
        <v>8.9999999999999993E-3</v>
      </c>
      <c r="E48" s="13">
        <f>E17</f>
        <v>0</v>
      </c>
      <c r="F48" s="13">
        <f>F17</f>
        <v>0</v>
      </c>
      <c r="H48" s="24" t="s">
        <v>74</v>
      </c>
      <c r="I48" s="9">
        <f t="shared" ref="I48:M48" si="16">SUM(I15:I25)+I26</f>
        <v>8052.86</v>
      </c>
      <c r="J48" s="9">
        <f t="shared" si="16"/>
        <v>41.922407</v>
      </c>
      <c r="K48" s="9">
        <f t="shared" si="16"/>
        <v>48.981560999999999</v>
      </c>
      <c r="L48" s="9">
        <f t="shared" si="16"/>
        <v>597.74107100000003</v>
      </c>
      <c r="M48" s="9">
        <f t="shared" si="16"/>
        <v>614.82621799999993</v>
      </c>
    </row>
    <row r="49" spans="1:13" ht="12">
      <c r="A49" s="5" t="s">
        <v>20</v>
      </c>
      <c r="B49" s="36">
        <f>B20</f>
        <v>8.9009999999999998</v>
      </c>
      <c r="C49" s="13">
        <v>-597.6</v>
      </c>
      <c r="D49" s="13">
        <v>66.3</v>
      </c>
      <c r="E49" s="13">
        <v>20.100000000000023</v>
      </c>
      <c r="F49" s="13">
        <v>20.100000000000023</v>
      </c>
      <c r="H49" s="24" t="s">
        <v>75</v>
      </c>
      <c r="I49" s="9">
        <f>I46+I36+I10+I6+I43+I47+I44</f>
        <v>12124.262999999999</v>
      </c>
      <c r="J49" s="9">
        <f>J46+J36+J10+J6+J43+J47+J44</f>
        <v>41.922406999999993</v>
      </c>
      <c r="K49" s="9">
        <f>K46+K36+K10+K6+K43+K47+K44+K45</f>
        <v>48.958855</v>
      </c>
      <c r="L49" s="9">
        <f>L46+L36+L10+L6+L43+L47+L44+L45</f>
        <v>597.74101100000007</v>
      </c>
      <c r="M49" s="9">
        <f>M46+M36+M10+M6+M43+M47+M44+M45</f>
        <v>614.62597879999998</v>
      </c>
    </row>
    <row r="50" spans="1:13" ht="12">
      <c r="A50" s="5" t="s">
        <v>21</v>
      </c>
      <c r="B50" s="36"/>
      <c r="C50" s="13">
        <v>2336.8000000000002</v>
      </c>
      <c r="D50" s="13">
        <v>592.5</v>
      </c>
      <c r="E50" s="13">
        <v>-977.7</v>
      </c>
      <c r="F50" s="13">
        <v>-977.7</v>
      </c>
      <c r="H50" s="18" t="s">
        <v>40</v>
      </c>
      <c r="L50" s="58"/>
    </row>
    <row r="51" spans="1:13" ht="12">
      <c r="A51" s="5" t="s">
        <v>22</v>
      </c>
      <c r="B51" s="36">
        <f t="shared" ref="B51" si="17">-B22</f>
        <v>-6.3959999999999999</v>
      </c>
      <c r="C51" s="13">
        <v>-38.4</v>
      </c>
      <c r="D51" s="13">
        <v>-67.8</v>
      </c>
      <c r="E51" s="13">
        <v>-129</v>
      </c>
      <c r="F51" s="13">
        <v>-129</v>
      </c>
      <c r="H51" s="20" t="s">
        <v>41</v>
      </c>
      <c r="I51" s="4" t="s">
        <v>27</v>
      </c>
      <c r="J51" s="72" t="s">
        <v>28</v>
      </c>
      <c r="K51" s="90" t="s">
        <v>29</v>
      </c>
      <c r="L51" s="90" t="s">
        <v>72</v>
      </c>
      <c r="M51" s="81" t="s">
        <v>78</v>
      </c>
    </row>
    <row r="52" spans="1:13" ht="12">
      <c r="A52" s="20" t="s">
        <v>23</v>
      </c>
      <c r="B52" s="42" t="e">
        <f t="shared" ref="B52:D52" si="18">SUM(B47:B51)</f>
        <v>#REF!</v>
      </c>
      <c r="C52" s="9">
        <v>2264.541999999999</v>
      </c>
      <c r="D52" s="9">
        <f t="shared" si="18"/>
        <v>592.95400000000006</v>
      </c>
      <c r="E52" s="9">
        <v>703.77900000000113</v>
      </c>
      <c r="F52" s="9">
        <v>703.77900000000113</v>
      </c>
      <c r="H52" s="37" t="s">
        <v>42</v>
      </c>
      <c r="I52" s="38">
        <v>84.05</v>
      </c>
      <c r="J52" s="73"/>
      <c r="K52" s="80">
        <v>1.54999995231628</v>
      </c>
      <c r="L52" s="80">
        <v>3.8599998950958301</v>
      </c>
      <c r="M52" s="80">
        <v>52.599998474121101</v>
      </c>
    </row>
    <row r="53" spans="1:13" ht="12">
      <c r="A53" s="5" t="s">
        <v>24</v>
      </c>
      <c r="B53" s="36"/>
      <c r="C53" s="13">
        <v>-457</v>
      </c>
      <c r="D53" s="13">
        <v>-1032</v>
      </c>
      <c r="E53" s="13">
        <v>-657</v>
      </c>
      <c r="F53" s="13">
        <v>-657</v>
      </c>
      <c r="H53" s="30" t="s">
        <v>43</v>
      </c>
      <c r="I53" s="39">
        <f>B32</f>
        <v>5.22</v>
      </c>
      <c r="J53" s="50">
        <f>C32</f>
        <v>0.15</v>
      </c>
      <c r="K53" s="84">
        <f>D32</f>
        <v>0.38</v>
      </c>
      <c r="L53" s="84">
        <f>E32</f>
        <v>2.14</v>
      </c>
      <c r="M53" s="84">
        <f>F32</f>
        <v>0.35</v>
      </c>
    </row>
    <row r="54" spans="1:13" ht="12">
      <c r="A54" s="24" t="s">
        <v>25</v>
      </c>
      <c r="B54" s="42" t="e">
        <f t="shared" ref="B54:D54" si="19">SUM(B52:B53)</f>
        <v>#REF!</v>
      </c>
      <c r="C54" s="9">
        <v>1807.541999999999</v>
      </c>
      <c r="D54" s="9">
        <f t="shared" si="19"/>
        <v>-439.04599999999994</v>
      </c>
      <c r="E54" s="9">
        <v>46.779000000001098</v>
      </c>
      <c r="F54" s="9">
        <v>46.779000000001098</v>
      </c>
      <c r="H54" s="40" t="s">
        <v>44</v>
      </c>
      <c r="I54" s="41">
        <v>0</v>
      </c>
      <c r="J54" s="51">
        <f>(J6*1000000)/C57</f>
        <v>1.5736455031498926</v>
      </c>
      <c r="K54" s="85">
        <f>(K6*1000000)/D57</f>
        <v>12.023820391061452</v>
      </c>
      <c r="L54" s="85">
        <f>(L6*1000000)/E57</f>
        <v>33.951691842555618</v>
      </c>
      <c r="M54" s="85">
        <f>(M6*1000000)/F57</f>
        <v>34.159549914432404</v>
      </c>
    </row>
    <row r="55" spans="1:13">
      <c r="A55" s="2" t="s">
        <v>26</v>
      </c>
      <c r="C55" s="49"/>
      <c r="D55" s="49"/>
      <c r="E55" s="49"/>
      <c r="F55" s="49"/>
      <c r="H55" s="1" t="s">
        <v>45</v>
      </c>
      <c r="I55" s="7"/>
      <c r="J55" s="52">
        <v>0</v>
      </c>
      <c r="K55" s="68">
        <v>0</v>
      </c>
      <c r="L55" s="68">
        <v>0</v>
      </c>
      <c r="M55" s="68">
        <v>0</v>
      </c>
    </row>
    <row r="56" spans="1:13">
      <c r="C56" s="49"/>
      <c r="D56" s="49"/>
      <c r="E56" s="49"/>
      <c r="F56" s="49"/>
      <c r="H56" s="1" t="s">
        <v>46</v>
      </c>
      <c r="I56" s="41">
        <f t="shared" ref="I56:M56" si="20">(I52/I53)</f>
        <v>16.101532567049809</v>
      </c>
      <c r="J56" s="51">
        <f t="shared" si="20"/>
        <v>0</v>
      </c>
      <c r="K56" s="85">
        <f t="shared" si="20"/>
        <v>4.0789472429375788</v>
      </c>
      <c r="L56" s="85">
        <f t="shared" si="20"/>
        <v>1.803738268736369</v>
      </c>
      <c r="M56" s="85">
        <f t="shared" si="20"/>
        <v>150.28570992606029</v>
      </c>
    </row>
    <row r="57" spans="1:13" ht="13.2">
      <c r="A57" s="5" t="s">
        <v>63</v>
      </c>
      <c r="B57" s="14"/>
      <c r="C57" s="60">
        <v>26549951</v>
      </c>
      <c r="D57" s="59">
        <v>3580000</v>
      </c>
      <c r="E57" s="89">
        <v>17530000</v>
      </c>
      <c r="F57" s="89">
        <v>17530000</v>
      </c>
      <c r="H57" s="1" t="s">
        <v>47</v>
      </c>
      <c r="I57" s="41">
        <v>0</v>
      </c>
      <c r="J57" s="51">
        <f>(J52/J54)</f>
        <v>0</v>
      </c>
      <c r="K57" s="85">
        <f t="shared" ref="K57:M57" si="21">(K52/K54)</f>
        <v>0.12891077061235504</v>
      </c>
      <c r="L57" s="85">
        <f t="shared" si="21"/>
        <v>0.11369094397403907</v>
      </c>
      <c r="M57" s="85">
        <f t="shared" si="21"/>
        <v>1.539832890242433</v>
      </c>
    </row>
    <row r="58" spans="1:13">
      <c r="A58" s="5" t="s">
        <v>64</v>
      </c>
      <c r="B58" s="13">
        <f>B57*I52/1000000</f>
        <v>0</v>
      </c>
      <c r="C58" s="13">
        <f>C57*J52/1000000</f>
        <v>0</v>
      </c>
      <c r="D58" s="13">
        <f>D57*K52/1000000</f>
        <v>5.5489998292922822</v>
      </c>
      <c r="E58" s="13">
        <f>E57*L52/1000000</f>
        <v>67.665798161029912</v>
      </c>
      <c r="F58" s="13">
        <f>F57*M52/1000000</f>
        <v>922.07797325134288</v>
      </c>
      <c r="H58" s="1" t="s">
        <v>48</v>
      </c>
      <c r="I58" s="41" t="e">
        <f>B61/B13</f>
        <v>#REF!</v>
      </c>
      <c r="J58" s="51">
        <f>C61/C13</f>
        <v>19.073986928104738</v>
      </c>
      <c r="K58" s="85">
        <f>D61/D13</f>
        <v>50.812399363067868</v>
      </c>
      <c r="L58" s="85">
        <f>E61/E13</f>
        <v>30.256012427027645</v>
      </c>
      <c r="M58" s="85">
        <f>F61/F13</f>
        <v>-254.42479696303553</v>
      </c>
    </row>
    <row r="59" spans="1:13">
      <c r="A59" s="5" t="s">
        <v>67</v>
      </c>
      <c r="B59" s="13">
        <f>I10</f>
        <v>6608.0550000000003</v>
      </c>
      <c r="C59" s="13">
        <f>J10</f>
        <v>0</v>
      </c>
      <c r="D59" s="13">
        <f>K10</f>
        <v>0</v>
      </c>
      <c r="E59" s="13">
        <f>L10</f>
        <v>0</v>
      </c>
      <c r="F59" s="13">
        <f>M10</f>
        <v>0</v>
      </c>
      <c r="H59" s="43" t="s">
        <v>49</v>
      </c>
      <c r="I59" s="32" t="e">
        <f>(B29/I6)</f>
        <v>#REF!</v>
      </c>
      <c r="J59" s="47">
        <f>(C29/J6)</f>
        <v>1.2685431387601242E-2</v>
      </c>
      <c r="K59" s="71">
        <f>(D29/K6)</f>
        <v>3.1524945233829038E-2</v>
      </c>
      <c r="L59" s="71">
        <f>(E29/L6)</f>
        <v>1.3572520688172562E-2</v>
      </c>
      <c r="M59" s="71">
        <f>(F29/M6)</f>
        <v>9.6373363938570232E-3</v>
      </c>
    </row>
    <row r="60" spans="1:13">
      <c r="A60" s="5" t="s">
        <v>65</v>
      </c>
      <c r="B60" s="13">
        <f>I32</f>
        <v>0</v>
      </c>
      <c r="C60" s="13">
        <f>J32+J31</f>
        <v>5.8366400000000001</v>
      </c>
      <c r="D60" s="13">
        <f t="shared" ref="D60:F60" si="22">K32+K31</f>
        <v>39.796557</v>
      </c>
      <c r="E60" s="13">
        <f t="shared" si="22"/>
        <v>191.44314500000002</v>
      </c>
      <c r="F60" s="13">
        <f t="shared" si="22"/>
        <v>105.374375</v>
      </c>
      <c r="H60" s="43" t="s">
        <v>50</v>
      </c>
      <c r="I60" s="32" t="e">
        <f>(B13-B17)/I11</f>
        <v>#REF!</v>
      </c>
      <c r="J60" s="47">
        <f>(C13-C17)/J11</f>
        <v>-7.3236790171258351E-3</v>
      </c>
      <c r="K60" s="71">
        <f>(D13-D17)/K11</f>
        <v>-1.5866949195933629E-2</v>
      </c>
      <c r="L60" s="71">
        <f>(E13-E17)/L11</f>
        <v>-6.8736298756268844E-3</v>
      </c>
      <c r="M60" s="71">
        <f>(F13-F17)/M11</f>
        <v>-5.3605695332257621E-3</v>
      </c>
    </row>
    <row r="61" spans="1:13" ht="12">
      <c r="A61" s="5" t="s">
        <v>66</v>
      </c>
      <c r="B61" s="9">
        <f t="shared" ref="B61:F61" si="23">B58+B59-B60</f>
        <v>6608.0550000000003</v>
      </c>
      <c r="C61" s="9">
        <f t="shared" si="23"/>
        <v>-5.8366400000000001</v>
      </c>
      <c r="D61" s="9">
        <f t="shared" si="23"/>
        <v>-34.247557170707715</v>
      </c>
      <c r="E61" s="9">
        <f t="shared" si="23"/>
        <v>-123.7773468389701</v>
      </c>
      <c r="F61" s="9">
        <f t="shared" si="23"/>
        <v>816.7035982513429</v>
      </c>
      <c r="H61" s="1" t="s">
        <v>51</v>
      </c>
      <c r="I61" s="44">
        <f t="shared" ref="I61:M61" si="24">(I10/I6)</f>
        <v>3.6768162196990692</v>
      </c>
      <c r="J61" s="53">
        <f t="shared" si="24"/>
        <v>0</v>
      </c>
      <c r="K61" s="86">
        <f t="shared" si="24"/>
        <v>0</v>
      </c>
      <c r="L61" s="86">
        <f t="shared" si="24"/>
        <v>0</v>
      </c>
      <c r="M61" s="86">
        <f t="shared" si="24"/>
        <v>0</v>
      </c>
    </row>
    <row r="62" spans="1:13">
      <c r="C62" s="49"/>
      <c r="D62" s="49"/>
      <c r="E62" s="49"/>
      <c r="F62" s="49"/>
      <c r="H62" s="1" t="s">
        <v>52</v>
      </c>
      <c r="I62" s="44">
        <f t="shared" ref="I62:M62" si="25">(I10-I32-I31)/I6</f>
        <v>3.6206695666979369</v>
      </c>
      <c r="J62" s="53">
        <f t="shared" si="25"/>
        <v>-0.13969867217760104</v>
      </c>
      <c r="K62" s="86">
        <f t="shared" si="25"/>
        <v>-0.9245278407663633</v>
      </c>
      <c r="L62" s="86">
        <f t="shared" si="25"/>
        <v>-0.32165957490979458</v>
      </c>
      <c r="M62" s="86">
        <f t="shared" si="25"/>
        <v>-0.17597094076718708</v>
      </c>
    </row>
    <row r="63" spans="1:13" ht="13.2">
      <c r="C63" s="49"/>
      <c r="D63" s="49"/>
      <c r="E63" s="59"/>
      <c r="F63" s="49"/>
      <c r="H63" s="1" t="s">
        <v>53</v>
      </c>
      <c r="I63" s="6">
        <f t="shared" ref="I63:M63" si="26">(I55/I52)</f>
        <v>0</v>
      </c>
      <c r="J63" s="54" t="e">
        <f t="shared" si="26"/>
        <v>#DIV/0!</v>
      </c>
      <c r="K63" s="87">
        <f t="shared" si="26"/>
        <v>0</v>
      </c>
      <c r="L63" s="87">
        <f t="shared" si="26"/>
        <v>0</v>
      </c>
      <c r="M63" s="87">
        <f t="shared" si="26"/>
        <v>0</v>
      </c>
    </row>
    <row r="64" spans="1:13">
      <c r="C64" s="49"/>
      <c r="D64" s="49"/>
      <c r="E64" s="49"/>
      <c r="F64" s="49"/>
      <c r="H64" s="1" t="s">
        <v>54</v>
      </c>
      <c r="I64" s="15" t="e">
        <f>(AVERAGE(#REF!)/#REF!*365)</f>
        <v>#REF!</v>
      </c>
      <c r="J64" s="55" t="e">
        <f>(AVERAGE(#REF!)/#REF!*365)</f>
        <v>#REF!</v>
      </c>
      <c r="K64" s="88">
        <f>(AVERAGE(K30)/D4*365)</f>
        <v>93.509270864270846</v>
      </c>
      <c r="L64" s="88" t="s">
        <v>122</v>
      </c>
      <c r="M64" s="88">
        <f>(AVERAGE(M30)/F4*365)</f>
        <v>436.65167510998526</v>
      </c>
    </row>
    <row r="65" spans="3:13">
      <c r="C65" s="49"/>
      <c r="D65" s="49"/>
      <c r="E65" s="49"/>
      <c r="F65" s="49"/>
      <c r="H65" s="1" t="s">
        <v>55</v>
      </c>
      <c r="I65" s="15">
        <f>AVERAGE(I38)/(B8+B9+B11)*365</f>
        <v>80.213484286698034</v>
      </c>
      <c r="J65" s="55">
        <f>AVERAGE(J38:J38)/(C8+C9+C11)*365</f>
        <v>0</v>
      </c>
      <c r="K65" s="88">
        <f>AVERAGE(J38:K38)/(D8+D9+D11)*365</f>
        <v>35.224112455021547</v>
      </c>
      <c r="L65" s="88" t="s">
        <v>122</v>
      </c>
      <c r="M65" s="88">
        <f>AVERAGE(L38:M38)/(F8+F9+F10)*365</f>
        <v>198.33722993095981</v>
      </c>
    </row>
    <row r="66" spans="3:13">
      <c r="C66" s="49"/>
      <c r="D66" s="49"/>
      <c r="E66" s="49"/>
      <c r="F66" s="49"/>
      <c r="H66" s="1" t="s">
        <v>56</v>
      </c>
      <c r="I66" s="15">
        <f>(AVERAGE(I27:I27)/(B8+B9+B11)*365)</f>
        <v>100.03740388121476</v>
      </c>
      <c r="J66" s="55">
        <f>(AVERAGE(J27:J27)/(C8+C9+C11)*365)</f>
        <v>106.17147257876313</v>
      </c>
      <c r="K66" s="88">
        <f>(AVERAGE(J27:K27)/(D8+D9+D11)*365)</f>
        <v>32.416171577184791</v>
      </c>
      <c r="L66" s="88">
        <f>(AVERAGE(K27:L27)/(E8+E9+E11)*365)</f>
        <v>0</v>
      </c>
      <c r="M66" s="88">
        <f>(AVERAGE(L27:M27)/(F8+F9+F11)*365)</f>
        <v>0</v>
      </c>
    </row>
    <row r="67" spans="3:13">
      <c r="H67" s="1" t="s">
        <v>71</v>
      </c>
      <c r="I67" s="15" t="e">
        <f t="shared" ref="I67:M67" si="27">(I66+I64-I65)</f>
        <v>#REF!</v>
      </c>
      <c r="J67" s="55" t="e">
        <f t="shared" si="27"/>
        <v>#REF!</v>
      </c>
      <c r="K67" s="88">
        <f t="shared" si="27"/>
        <v>90.701329986434075</v>
      </c>
      <c r="L67" s="88" t="e">
        <f t="shared" si="27"/>
        <v>#VALUE!</v>
      </c>
      <c r="M67" s="88">
        <f t="shared" si="27"/>
        <v>238.31444517902545</v>
      </c>
    </row>
    <row r="68" spans="3:13">
      <c r="H68" s="1" t="s">
        <v>57</v>
      </c>
      <c r="I68" s="15" t="e">
        <f>AVERAGE(I42:I42)/#REF!*365</f>
        <v>#REF!</v>
      </c>
      <c r="J68" s="55" t="e">
        <f>AVERAGE(J42:J42)/#REF!*365</f>
        <v>#REF!</v>
      </c>
      <c r="K68" s="88">
        <f>+K26/D4*365</f>
        <v>527.52442916542907</v>
      </c>
      <c r="L68" s="88" t="e">
        <f>+L26/E4*365</f>
        <v>#DIV/0!</v>
      </c>
      <c r="M68" s="88">
        <f>+M26/F4*365</f>
        <v>14958.776801093185</v>
      </c>
    </row>
    <row r="69" spans="3:13">
      <c r="H69" s="5" t="s">
        <v>73</v>
      </c>
      <c r="I69" s="6">
        <f>B18/I10</f>
        <v>0.1214001699441061</v>
      </c>
      <c r="J69" s="54" t="e">
        <f>C18/J10</f>
        <v>#DIV/0!</v>
      </c>
      <c r="K69" s="87" t="s">
        <v>122</v>
      </c>
      <c r="L69" s="87" t="s">
        <v>122</v>
      </c>
      <c r="M69" s="87" t="s">
        <v>122</v>
      </c>
    </row>
    <row r="70" spans="3:13">
      <c r="L70" s="58"/>
    </row>
    <row r="71" spans="3:13">
      <c r="L71" s="58"/>
    </row>
    <row r="72" spans="3:13">
      <c r="L72" s="58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</sheetData>
  <mergeCells count="3">
    <mergeCell ref="A1:M1"/>
    <mergeCell ref="A2:F2"/>
    <mergeCell ref="H2:M2"/>
  </mergeCells>
  <pageMargins left="0.7" right="0.7" top="0.75" bottom="0.75" header="0.3" footer="0.3"/>
  <pageSetup paperSize="9" scale="4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zoomScale="162" zoomScaleNormal="162" zoomScaleSheetLayoutView="78" workbookViewId="0">
      <pane xSplit="1" ySplit="3" topLeftCell="B4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ColWidth="8.6640625" defaultRowHeight="14.4"/>
  <cols>
    <col min="1" max="1" width="22.109375" bestFit="1" customWidth="1"/>
    <col min="2" max="3" width="11" customWidth="1"/>
    <col min="4" max="5" width="12.44140625" customWidth="1"/>
    <col min="6" max="7" width="12.33203125" customWidth="1"/>
    <col min="8" max="9" width="12" customWidth="1"/>
    <col min="16" max="16" width="10.109375" bestFit="1" customWidth="1"/>
  </cols>
  <sheetData>
    <row r="1" spans="1:17" ht="18">
      <c r="A1" s="331" t="s">
        <v>182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7" ht="43.2">
      <c r="A2" s="133"/>
      <c r="B2" s="341" t="s">
        <v>183</v>
      </c>
      <c r="C2" s="341"/>
      <c r="D2" s="341" t="s">
        <v>184</v>
      </c>
      <c r="E2" s="341"/>
      <c r="F2" s="341" t="s">
        <v>185</v>
      </c>
      <c r="G2" s="341"/>
      <c r="H2" s="341" t="s">
        <v>186</v>
      </c>
      <c r="I2" s="341"/>
      <c r="J2" s="341" t="s">
        <v>187</v>
      </c>
      <c r="K2" s="341"/>
      <c r="M2" s="134" t="s">
        <v>183</v>
      </c>
      <c r="N2" s="134" t="s">
        <v>184</v>
      </c>
      <c r="O2" s="134" t="s">
        <v>185</v>
      </c>
      <c r="P2" s="134" t="s">
        <v>186</v>
      </c>
      <c r="Q2" s="134" t="s">
        <v>187</v>
      </c>
    </row>
    <row r="3" spans="1:17">
      <c r="A3" s="112" t="s">
        <v>77</v>
      </c>
      <c r="B3" s="91" t="s">
        <v>179</v>
      </c>
      <c r="C3" s="91" t="s">
        <v>192</v>
      </c>
      <c r="D3" s="91" t="s">
        <v>179</v>
      </c>
      <c r="E3" s="91" t="s">
        <v>192</v>
      </c>
      <c r="F3" s="91" t="s">
        <v>179</v>
      </c>
      <c r="G3" s="91" t="s">
        <v>192</v>
      </c>
      <c r="H3" s="91" t="s">
        <v>179</v>
      </c>
      <c r="I3" s="91" t="s">
        <v>192</v>
      </c>
      <c r="J3" s="91" t="s">
        <v>179</v>
      </c>
      <c r="K3" s="91" t="s">
        <v>192</v>
      </c>
      <c r="M3" s="340" t="s">
        <v>189</v>
      </c>
      <c r="N3" s="340"/>
      <c r="O3" s="340"/>
      <c r="P3" s="340"/>
      <c r="Q3" s="340"/>
    </row>
    <row r="4" spans="1:17" ht="15.6">
      <c r="A4" s="140" t="s">
        <v>181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M4" s="139"/>
      <c r="N4" s="139"/>
      <c r="O4" s="139"/>
      <c r="P4" s="139"/>
      <c r="Q4" s="139"/>
    </row>
    <row r="5" spans="1:17">
      <c r="A5" s="93" t="s">
        <v>188</v>
      </c>
      <c r="B5" s="101">
        <f>'Summary sheet- CONSOLIDATED'!F5</f>
        <v>2929.4920000000002</v>
      </c>
      <c r="C5" s="101">
        <f>'Summary sheet- CONSOLIDATED'!G5</f>
        <v>3772.8879999999999</v>
      </c>
      <c r="D5" s="101">
        <v>20436</v>
      </c>
      <c r="E5" s="101">
        <v>9138.9</v>
      </c>
      <c r="F5" s="101">
        <v>4440</v>
      </c>
      <c r="G5" s="101">
        <v>2308.87</v>
      </c>
      <c r="H5" s="101">
        <v>142531</v>
      </c>
      <c r="I5" s="101">
        <v>74599</v>
      </c>
      <c r="J5" s="92">
        <v>5798</v>
      </c>
      <c r="K5" s="92">
        <v>5625.5420000000004</v>
      </c>
      <c r="M5">
        <v>1665.3</v>
      </c>
      <c r="N5">
        <v>17136.900000000001</v>
      </c>
      <c r="O5">
        <v>3289.9</v>
      </c>
      <c r="P5">
        <v>93765</v>
      </c>
      <c r="Q5">
        <v>5339.3</v>
      </c>
    </row>
    <row r="6" spans="1:17">
      <c r="A6" s="93" t="s">
        <v>126</v>
      </c>
      <c r="B6" s="102">
        <f>'Summary sheet- CONSOLIDATED'!F7</f>
        <v>0.20920562318481073</v>
      </c>
      <c r="C6" s="102"/>
      <c r="D6" s="103">
        <f>(D5/N5)^(1/3)-1</f>
        <v>6.0444336899740936E-2</v>
      </c>
      <c r="E6" s="103"/>
      <c r="F6" s="103">
        <f>(F5/O5)^(1/3)-1</f>
        <v>0.1050962137230973</v>
      </c>
      <c r="G6" s="103"/>
      <c r="H6" s="103">
        <f>(H5/P5)^(1/3)-1</f>
        <v>0.14980146608641398</v>
      </c>
      <c r="I6" s="103"/>
      <c r="J6" s="103">
        <f t="shared" ref="J6" si="0">(J5/Q5)^(1/3)-1</f>
        <v>2.7853681865882107E-2</v>
      </c>
      <c r="K6" s="103"/>
    </row>
    <row r="7" spans="1:17">
      <c r="A7" s="93" t="s">
        <v>3</v>
      </c>
      <c r="B7" s="135">
        <f>'Summary sheet- CONSOLIDATED'!F18</f>
        <v>652.3720000000003</v>
      </c>
      <c r="C7" s="135">
        <f>'Summary sheet- CONSOLIDATED'!G18</f>
        <v>816.63099999999986</v>
      </c>
      <c r="D7" s="101">
        <v>5224</v>
      </c>
      <c r="E7" s="101">
        <f>SUM(E8:E16)</f>
        <v>-139.23259999999999</v>
      </c>
      <c r="F7" s="101">
        <v>2023</v>
      </c>
      <c r="G7" s="101">
        <f>G5-1350.1+135.22-8.42</f>
        <v>1085.57</v>
      </c>
      <c r="H7" s="101">
        <v>27834</v>
      </c>
      <c r="I7" s="101">
        <f>I5-62503+3558+1134</f>
        <v>16788</v>
      </c>
      <c r="J7" s="92">
        <v>597</v>
      </c>
      <c r="K7" s="92">
        <f>K5-5156.219+191.126+186.79</f>
        <v>847.23900000000026</v>
      </c>
      <c r="N7">
        <v>4533.5</v>
      </c>
      <c r="O7">
        <v>1508.1</v>
      </c>
      <c r="P7">
        <v>19044</v>
      </c>
    </row>
    <row r="8" spans="1:17">
      <c r="A8" s="93" t="s">
        <v>126</v>
      </c>
      <c r="B8" s="102">
        <f>'Summary sheet- CONSOLIDATED'!F20</f>
        <v>0.76014362246435718</v>
      </c>
      <c r="C8" s="102"/>
      <c r="D8" s="109">
        <f>((D7/N7)^(1/3))-1</f>
        <v>4.8390755413393327E-2</v>
      </c>
      <c r="E8" s="109"/>
      <c r="F8" s="109">
        <f>((F7/O7)^(1/3))-1</f>
        <v>0.10286388238516264</v>
      </c>
      <c r="G8" s="109"/>
      <c r="H8" s="109">
        <f t="shared" ref="H8" si="1">((H7/P7)^(1/3))-1</f>
        <v>0.13485179792058521</v>
      </c>
      <c r="I8" s="109"/>
      <c r="J8" s="109" t="s">
        <v>122</v>
      </c>
      <c r="K8" s="109"/>
    </row>
    <row r="9" spans="1:17">
      <c r="A9" s="93" t="s">
        <v>127</v>
      </c>
      <c r="B9" s="102">
        <f>'Summary sheet- CONSOLIDATED'!F21</f>
        <v>0.22269116966354585</v>
      </c>
      <c r="C9" s="102">
        <f>'Summary sheet- CONSOLIDATED'!G21</f>
        <v>0.216447188466766</v>
      </c>
      <c r="D9" s="103">
        <v>0.25559999999999999</v>
      </c>
      <c r="E9" s="103">
        <v>0.26740000000000003</v>
      </c>
      <c r="F9" s="103">
        <v>0.45569999999999999</v>
      </c>
      <c r="G9" s="103">
        <f>G7/G5</f>
        <v>0.47017372134420732</v>
      </c>
      <c r="H9" s="103">
        <v>0.1953</v>
      </c>
      <c r="I9" s="103">
        <f>I7/I5</f>
        <v>0.22504323114250863</v>
      </c>
      <c r="J9" s="92">
        <v>10.3</v>
      </c>
      <c r="K9" s="103">
        <f>K7/K5</f>
        <v>0.15060575496547715</v>
      </c>
    </row>
    <row r="10" spans="1:17">
      <c r="A10" s="93" t="s">
        <v>9</v>
      </c>
      <c r="B10" s="135">
        <f>'Summary sheet- CONSOLIDATED'!F33</f>
        <v>595.26000000000033</v>
      </c>
      <c r="C10" s="135">
        <f>'Summary sheet- CONSOLIDATED'!G33</f>
        <v>455.06699999999978</v>
      </c>
      <c r="D10" s="101">
        <v>1803</v>
      </c>
      <c r="E10" s="101">
        <v>-140.4</v>
      </c>
      <c r="F10" s="101">
        <v>1330</v>
      </c>
      <c r="G10" s="101">
        <v>733.64</v>
      </c>
      <c r="H10" s="101">
        <v>11766</v>
      </c>
      <c r="I10" s="101">
        <v>9274</v>
      </c>
      <c r="J10" s="92">
        <v>307</v>
      </c>
      <c r="K10" s="92">
        <v>302.22000000000003</v>
      </c>
      <c r="M10" s="136"/>
      <c r="N10">
        <v>1463.2</v>
      </c>
      <c r="O10">
        <v>929.4</v>
      </c>
      <c r="P10">
        <v>14830</v>
      </c>
    </row>
    <row r="11" spans="1:17">
      <c r="A11" s="93" t="s">
        <v>126</v>
      </c>
      <c r="B11" s="102">
        <f>'Summary sheet- CONSOLIDATED'!F38</f>
        <v>0</v>
      </c>
      <c r="C11" s="102"/>
      <c r="D11" s="109">
        <f>((D10/N10)^(1/3))-1</f>
        <v>7.2088600237796507E-2</v>
      </c>
      <c r="E11" s="109"/>
      <c r="F11" s="109">
        <f>((F10/O10)^(1/3))-1</f>
        <v>0.12689380380862936</v>
      </c>
      <c r="G11" s="109"/>
      <c r="H11" s="109">
        <f t="shared" ref="H11" si="2">((H10/P10)^(1/3))-1</f>
        <v>-7.4245359556124102E-2</v>
      </c>
      <c r="I11" s="109"/>
      <c r="J11" s="109" t="s">
        <v>122</v>
      </c>
      <c r="K11" s="109"/>
    </row>
    <row r="12" spans="1:17">
      <c r="A12" s="93" t="s">
        <v>128</v>
      </c>
      <c r="B12" s="103">
        <f>'Summary sheet- CONSOLIDATED'!F34</f>
        <v>0.20319563938047971</v>
      </c>
      <c r="C12" s="103">
        <f>'Summary sheet- CONSOLIDATED'!G34</f>
        <v>0.12061503018377429</v>
      </c>
      <c r="D12" s="103">
        <v>8.8200000000000001E-2</v>
      </c>
      <c r="E12" s="103" t="s">
        <v>122</v>
      </c>
      <c r="F12" s="103">
        <v>0.29970000000000002</v>
      </c>
      <c r="G12" s="103">
        <f>G10/G5</f>
        <v>0.31774850901090146</v>
      </c>
      <c r="H12" s="103">
        <v>8.2600000000000007E-2</v>
      </c>
      <c r="I12" s="103">
        <f>I10/I5</f>
        <v>0.12431802034879824</v>
      </c>
      <c r="J12" s="109">
        <f>J10/J5</f>
        <v>5.2949292859606763E-2</v>
      </c>
      <c r="K12" s="109">
        <f>K10/K5</f>
        <v>5.3722823507494924E-2</v>
      </c>
    </row>
    <row r="13" spans="1:17">
      <c r="A13" s="93" t="s">
        <v>11</v>
      </c>
      <c r="B13" s="104">
        <f>'Summary sheet- CONSOLIDATED'!F39</f>
        <v>20.53</v>
      </c>
      <c r="C13" s="104">
        <f>'Summary sheet- CONSOLIDATED'!G39</f>
        <v>15.69</v>
      </c>
      <c r="D13" s="104">
        <v>11.2</v>
      </c>
      <c r="E13" s="104">
        <v>0.9</v>
      </c>
      <c r="F13" s="104">
        <v>11.56</v>
      </c>
      <c r="G13" s="104">
        <v>6.4</v>
      </c>
      <c r="H13" s="104">
        <v>11.49</v>
      </c>
      <c r="I13" s="104">
        <v>9.06</v>
      </c>
      <c r="J13" s="92">
        <v>2.5299999999999998</v>
      </c>
      <c r="K13" s="92">
        <v>1.64</v>
      </c>
    </row>
    <row r="14" spans="1:17">
      <c r="A14" s="93"/>
      <c r="B14" s="93"/>
      <c r="C14" s="93"/>
      <c r="D14" s="93"/>
      <c r="E14" s="93"/>
      <c r="F14" s="93"/>
      <c r="G14" s="93"/>
      <c r="H14" s="93"/>
      <c r="I14" s="93"/>
      <c r="J14" s="92"/>
      <c r="K14" s="92"/>
    </row>
    <row r="15" spans="1:17">
      <c r="A15" s="93"/>
      <c r="B15" s="93"/>
      <c r="C15" s="93"/>
      <c r="D15" s="93"/>
      <c r="E15" s="93"/>
      <c r="F15" s="93"/>
      <c r="G15" s="93"/>
      <c r="H15" s="93"/>
      <c r="I15" s="93"/>
      <c r="J15" s="92"/>
      <c r="K15" s="92"/>
    </row>
    <row r="16" spans="1:17">
      <c r="A16" s="333" t="s">
        <v>129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>
      <c r="A17" s="93" t="s">
        <v>130</v>
      </c>
      <c r="B17" s="105">
        <f>'Summary sheet- CONSOLIDATED'!P9</f>
        <v>3094.3540000000003</v>
      </c>
      <c r="C17" s="105">
        <f>'Summary sheet- CONSOLIDATED'!Q9</f>
        <v>3602.9769999999999</v>
      </c>
      <c r="D17" s="105">
        <v>57376.800000000003</v>
      </c>
      <c r="E17" s="105">
        <v>58425</v>
      </c>
      <c r="F17" s="105">
        <v>8396.5</v>
      </c>
      <c r="G17" s="105">
        <v>8966.9</v>
      </c>
      <c r="H17" s="105">
        <v>103757</v>
      </c>
      <c r="I17" s="105">
        <v>117546</v>
      </c>
      <c r="J17" s="92">
        <v>4031.4</v>
      </c>
      <c r="K17" s="92">
        <f>5539.785-649.959</f>
        <v>4889.826</v>
      </c>
    </row>
    <row r="18" spans="1:11">
      <c r="A18" s="93" t="s">
        <v>67</v>
      </c>
      <c r="B18" s="116">
        <f t="shared" ref="B18:H18" si="3">SUM(B19:B20)</f>
        <v>2061.1970000000001</v>
      </c>
      <c r="C18" s="116">
        <f t="shared" si="3"/>
        <v>2067.4</v>
      </c>
      <c r="D18" s="116">
        <f t="shared" si="3"/>
        <v>9295.2999999999993</v>
      </c>
      <c r="E18" s="116">
        <f>E19+E20</f>
        <v>9122</v>
      </c>
      <c r="F18" s="116">
        <f t="shared" si="3"/>
        <v>168.9</v>
      </c>
      <c r="G18" s="116">
        <f>G19+G20</f>
        <v>98.83</v>
      </c>
      <c r="H18" s="116">
        <f t="shared" si="3"/>
        <v>70411</v>
      </c>
      <c r="I18" s="116">
        <f>I19+I20</f>
        <v>56435</v>
      </c>
      <c r="J18" s="116">
        <f>SUM(J19:J20)</f>
        <v>4823.7999999999993</v>
      </c>
      <c r="K18" s="116">
        <f>K19+K20</f>
        <v>4883.0219999999999</v>
      </c>
    </row>
    <row r="19" spans="1:11">
      <c r="A19" s="106" t="s">
        <v>131</v>
      </c>
      <c r="B19" s="105">
        <f>'Summary sheet- CONSOLIDATED'!P11</f>
        <v>1017.867</v>
      </c>
      <c r="C19" s="105">
        <f>'Summary sheet- CONSOLIDATED'!Q11</f>
        <v>1104.4000000000001</v>
      </c>
      <c r="D19" s="105">
        <v>2413</v>
      </c>
      <c r="E19" s="105">
        <v>2441.1</v>
      </c>
      <c r="F19" s="105">
        <v>41.5</v>
      </c>
      <c r="G19" s="105">
        <v>21.72</v>
      </c>
      <c r="H19" s="105">
        <v>32146</v>
      </c>
      <c r="I19" s="105">
        <f>15016</f>
        <v>15016</v>
      </c>
      <c r="J19" s="92">
        <v>2115.1</v>
      </c>
      <c r="K19" s="92">
        <v>2280.7919999999999</v>
      </c>
    </row>
    <row r="20" spans="1:11">
      <c r="A20" s="106" t="s">
        <v>132</v>
      </c>
      <c r="B20" s="105">
        <f>'Summary sheet- CONSOLIDATED'!P12</f>
        <v>1043.33</v>
      </c>
      <c r="C20" s="105">
        <f>'Summary sheet- CONSOLIDATED'!Q12</f>
        <v>963</v>
      </c>
      <c r="D20" s="105">
        <v>6882.3</v>
      </c>
      <c r="E20" s="105">
        <v>6680.9</v>
      </c>
      <c r="F20" s="105">
        <v>127.4</v>
      </c>
      <c r="G20" s="105">
        <v>77.11</v>
      </c>
      <c r="H20" s="105">
        <v>38265</v>
      </c>
      <c r="I20" s="105">
        <f>41419</f>
        <v>41419</v>
      </c>
      <c r="J20" s="92">
        <v>2708.7</v>
      </c>
      <c r="K20" s="92">
        <v>2602.23</v>
      </c>
    </row>
    <row r="21" spans="1:11">
      <c r="A21" s="93"/>
      <c r="B21" s="93"/>
      <c r="C21" s="93"/>
      <c r="D21" s="93"/>
      <c r="E21" s="93"/>
      <c r="F21" s="93"/>
      <c r="G21" s="93"/>
      <c r="H21" s="93"/>
      <c r="I21" s="93"/>
      <c r="J21" s="92"/>
      <c r="K21" s="92"/>
    </row>
    <row r="22" spans="1:11">
      <c r="A22" s="93"/>
      <c r="B22" s="93"/>
      <c r="C22" s="93"/>
      <c r="D22" s="93"/>
      <c r="E22" s="93"/>
      <c r="F22" s="93"/>
      <c r="G22" s="93"/>
      <c r="H22" s="93"/>
      <c r="I22" s="93"/>
      <c r="J22" s="92"/>
      <c r="K22" s="92"/>
    </row>
    <row r="23" spans="1:11">
      <c r="A23" s="336" t="s">
        <v>12</v>
      </c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93" t="s">
        <v>133</v>
      </c>
      <c r="B24" s="93">
        <f>'Summary sheet- CONSOLIDATED'!F48</f>
        <v>344.596</v>
      </c>
      <c r="C24" s="93">
        <f>'Summary sheet- CONSOLIDATED'!G48</f>
        <v>625.97199999999998</v>
      </c>
      <c r="D24" s="104">
        <v>5851.5</v>
      </c>
      <c r="E24" s="104">
        <v>1827.7</v>
      </c>
      <c r="F24" s="93">
        <v>14090</v>
      </c>
      <c r="G24" s="93">
        <v>811.45</v>
      </c>
      <c r="H24" s="93">
        <v>25054</v>
      </c>
      <c r="I24" s="93">
        <v>16978</v>
      </c>
      <c r="J24" s="93">
        <v>860.197</v>
      </c>
      <c r="K24" s="93">
        <v>731.83699999999999</v>
      </c>
    </row>
    <row r="25" spans="1:11">
      <c r="A25" s="93" t="s">
        <v>25</v>
      </c>
      <c r="B25" s="104">
        <f>'Summary sheet- CONSOLIDATED'!F58</f>
        <v>-326.15499999999997</v>
      </c>
      <c r="C25" s="104"/>
      <c r="D25" s="104">
        <f>D24-4417.5</f>
        <v>1434</v>
      </c>
      <c r="E25" s="104"/>
      <c r="F25" s="104">
        <f>F24-4449.8</f>
        <v>9640.2000000000007</v>
      </c>
      <c r="G25" s="104"/>
      <c r="H25" s="104">
        <f>H24-10123</f>
        <v>14931</v>
      </c>
      <c r="I25" s="104"/>
      <c r="J25" s="92">
        <f>J24-901.175</f>
        <v>-40.977999999999952</v>
      </c>
      <c r="K25" s="92"/>
    </row>
    <row r="26" spans="1:11">
      <c r="A26" s="93"/>
      <c r="B26" s="93"/>
      <c r="C26" s="93"/>
      <c r="D26" s="93"/>
      <c r="E26" s="93"/>
      <c r="F26" s="93"/>
      <c r="G26" s="93"/>
      <c r="H26" s="93"/>
      <c r="I26" s="93"/>
      <c r="J26" s="92"/>
      <c r="K26" s="92"/>
    </row>
    <row r="27" spans="1:11">
      <c r="A27" s="93" t="s">
        <v>64</v>
      </c>
      <c r="B27" s="101">
        <f>'Summary sheet- CONSOLIDATED'!F62</f>
        <v>6261.4424842500002</v>
      </c>
      <c r="C27" s="101">
        <f>'Summary sheet- CONSOLIDATED'!G62</f>
        <v>7366.5760461</v>
      </c>
      <c r="D27" s="101">
        <v>32352.2</v>
      </c>
      <c r="E27" s="101"/>
      <c r="F27" s="101">
        <v>24156.1</v>
      </c>
      <c r="G27" s="101"/>
      <c r="H27" s="101">
        <v>404531.9</v>
      </c>
      <c r="I27" s="101"/>
      <c r="J27" s="92">
        <v>8803</v>
      </c>
      <c r="K27" s="92"/>
    </row>
    <row r="28" spans="1:11">
      <c r="A28" s="93" t="s">
        <v>134</v>
      </c>
      <c r="B28" s="101">
        <f>'Summary sheet- CONSOLIDATED'!F65</f>
        <v>7991.5404842500011</v>
      </c>
      <c r="C28" s="101">
        <f>'Summary sheet- CONSOLIDATED'!G65</f>
        <v>8988.6760461000013</v>
      </c>
      <c r="D28" s="101">
        <v>12547.3</v>
      </c>
      <c r="E28" s="101"/>
      <c r="F28" s="101">
        <v>16043</v>
      </c>
      <c r="G28" s="101"/>
      <c r="H28" s="101">
        <v>299201.40000000002</v>
      </c>
      <c r="I28" s="101"/>
      <c r="J28" s="92">
        <v>7960</v>
      </c>
      <c r="K28" s="92"/>
    </row>
    <row r="29" spans="1:11">
      <c r="A29" s="93"/>
      <c r="B29" s="93"/>
      <c r="C29" s="93"/>
      <c r="D29" s="93"/>
      <c r="E29" s="93"/>
      <c r="F29" s="93"/>
      <c r="G29" s="93"/>
      <c r="H29" s="93"/>
      <c r="I29" s="93"/>
      <c r="J29" s="92"/>
      <c r="K29" s="92"/>
    </row>
    <row r="30" spans="1:11">
      <c r="A30" s="93"/>
      <c r="B30" s="93"/>
      <c r="C30" s="93"/>
      <c r="D30" s="93"/>
      <c r="E30" s="93"/>
      <c r="F30" s="93"/>
      <c r="G30" s="93"/>
      <c r="H30" s="93"/>
      <c r="I30" s="93"/>
      <c r="J30" s="92"/>
      <c r="K30" s="92"/>
    </row>
    <row r="31" spans="1:11">
      <c r="A31" s="333" t="s">
        <v>135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>
      <c r="A32" s="93" t="s">
        <v>136</v>
      </c>
      <c r="B32" s="107">
        <f>'Summary sheet- CONSOLIDATED'!P72</f>
        <v>10.362883584997563</v>
      </c>
      <c r="C32" s="107"/>
      <c r="D32" s="107">
        <v>4.57</v>
      </c>
      <c r="E32" s="107"/>
      <c r="F32" s="107">
        <v>12.28</v>
      </c>
      <c r="G32" s="107"/>
      <c r="H32" s="107">
        <v>21.97</v>
      </c>
      <c r="I32" s="107"/>
      <c r="J32" s="92">
        <v>13.68</v>
      </c>
      <c r="K32" s="92"/>
    </row>
    <row r="33" spans="1:11">
      <c r="A33" s="93" t="s">
        <v>53</v>
      </c>
      <c r="B33" s="108">
        <f>'Summary sheet- CONSOLIDATED'!P79</f>
        <v>2.9377203290246769E-2</v>
      </c>
      <c r="C33" s="108"/>
      <c r="D33" s="108">
        <v>5.4000000000000003E-3</v>
      </c>
      <c r="E33" s="108"/>
      <c r="F33" s="108">
        <v>2.5399999999999999E-2</v>
      </c>
      <c r="G33" s="108"/>
      <c r="H33" s="108">
        <v>3.8300000000000001E-2</v>
      </c>
      <c r="I33" s="108"/>
      <c r="J33" s="92">
        <v>2.23</v>
      </c>
      <c r="K33" s="92"/>
    </row>
    <row r="34" spans="1:11">
      <c r="A34" s="93" t="s">
        <v>137</v>
      </c>
      <c r="B34" s="104">
        <f>'Summary sheet- CONSOLIDATED'!P73</f>
        <v>2.0235055472806276</v>
      </c>
      <c r="C34" s="104"/>
      <c r="D34" s="104">
        <v>0.15</v>
      </c>
      <c r="E34" s="104"/>
      <c r="F34" s="104">
        <v>2.0499999999999998</v>
      </c>
      <c r="G34" s="104"/>
      <c r="H34" s="104">
        <v>2.56</v>
      </c>
      <c r="I34" s="104"/>
      <c r="J34" s="92">
        <v>1.24</v>
      </c>
      <c r="K34" s="92"/>
    </row>
    <row r="35" spans="1:11">
      <c r="A35" s="93" t="s">
        <v>138</v>
      </c>
      <c r="B35" s="104">
        <f>'Summary sheet- CONSOLIDATED'!P74</f>
        <v>12.249974683539449</v>
      </c>
      <c r="C35" s="104"/>
      <c r="D35" s="104">
        <v>2.97</v>
      </c>
      <c r="E35" s="104"/>
      <c r="F35" s="104">
        <v>7.68</v>
      </c>
      <c r="G35" s="104"/>
      <c r="H35" s="104">
        <v>12.1</v>
      </c>
      <c r="I35" s="104"/>
      <c r="J35" s="92">
        <v>7.01</v>
      </c>
      <c r="K35" s="92"/>
    </row>
    <row r="36" spans="1:11">
      <c r="A36" s="93"/>
      <c r="B36" s="93"/>
      <c r="C36" s="93"/>
      <c r="D36" s="93"/>
      <c r="E36" s="93"/>
      <c r="F36" s="93"/>
      <c r="G36" s="93"/>
      <c r="H36" s="93"/>
      <c r="I36" s="93"/>
      <c r="J36" s="92"/>
      <c r="K36" s="92"/>
    </row>
    <row r="37" spans="1:11">
      <c r="A37" s="339" t="s">
        <v>139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138"/>
    </row>
    <row r="38" spans="1:11">
      <c r="A38" s="93" t="s">
        <v>140</v>
      </c>
      <c r="B38" s="104">
        <f>'Summary sheet- CONSOLIDATED'!P68</f>
        <v>212.75</v>
      </c>
      <c r="C38" s="104"/>
      <c r="D38" s="104">
        <v>53.6</v>
      </c>
      <c r="E38" s="104"/>
      <c r="F38" s="104">
        <v>143.15</v>
      </c>
      <c r="G38" s="104"/>
      <c r="H38" s="104">
        <v>267.10000000000002</v>
      </c>
      <c r="I38" s="104"/>
      <c r="J38" s="92">
        <v>39.4</v>
      </c>
      <c r="K38" s="92"/>
    </row>
    <row r="39" spans="1:11">
      <c r="A39" s="93" t="s">
        <v>141</v>
      </c>
      <c r="B39" s="104">
        <f>'Summary sheet- CONSOLIDATED'!P70</f>
        <v>105.13932135541361</v>
      </c>
      <c r="C39" s="104"/>
      <c r="D39" s="104">
        <v>305.66000000000003</v>
      </c>
      <c r="E39" s="104"/>
      <c r="F39" s="104">
        <v>33.17</v>
      </c>
      <c r="G39" s="104"/>
      <c r="H39" s="104">
        <v>109.96</v>
      </c>
      <c r="I39" s="104"/>
      <c r="J39" s="92">
        <v>31.08</v>
      </c>
      <c r="K39" s="92"/>
    </row>
    <row r="40" spans="1:11">
      <c r="A40" s="93" t="s">
        <v>142</v>
      </c>
      <c r="B40" s="104">
        <f>'Summary sheet- CONSOLIDATED'!P70</f>
        <v>105.13932135541361</v>
      </c>
      <c r="C40" s="104"/>
      <c r="D40" s="104">
        <v>305.66000000000003</v>
      </c>
      <c r="E40" s="104"/>
      <c r="F40" s="104">
        <v>33.17</v>
      </c>
      <c r="G40" s="104"/>
      <c r="H40" s="104">
        <v>109.96</v>
      </c>
      <c r="I40" s="104"/>
      <c r="J40" s="92">
        <v>31.08</v>
      </c>
      <c r="K40" s="92"/>
    </row>
    <row r="41" spans="1:11">
      <c r="A41" s="93" t="s">
        <v>143</v>
      </c>
      <c r="B41" s="103">
        <f>'Summary sheet- CONSOLIDATED'!P75</f>
        <v>0.19797896426847097</v>
      </c>
      <c r="C41" s="103"/>
      <c r="D41" s="103">
        <v>8.0000000000000002E-3</v>
      </c>
      <c r="E41" s="103"/>
      <c r="F41" s="103">
        <v>0.15640000000000001</v>
      </c>
      <c r="G41" s="103"/>
      <c r="H41" s="103">
        <v>0.12540000000000001</v>
      </c>
      <c r="I41" s="103"/>
      <c r="J41" s="103">
        <v>8.1500000000000003E-2</v>
      </c>
      <c r="K41" s="103"/>
    </row>
    <row r="42" spans="1:11">
      <c r="A42" s="93" t="s">
        <v>144</v>
      </c>
      <c r="B42" s="103">
        <f>'Summary sheet- CONSOLIDATED'!P76</f>
        <v>0.11987648099204638</v>
      </c>
      <c r="C42" s="103"/>
      <c r="D42" s="103">
        <v>0.02</v>
      </c>
      <c r="E42" s="103"/>
      <c r="F42" s="103">
        <v>0.2016</v>
      </c>
      <c r="G42" s="103"/>
      <c r="H42" s="103">
        <v>0.14069999999999999</v>
      </c>
      <c r="I42" s="103"/>
      <c r="J42" s="103">
        <v>0.1447</v>
      </c>
      <c r="K42" s="103"/>
    </row>
    <row r="43" spans="1:11">
      <c r="A43" s="92" t="s">
        <v>145</v>
      </c>
      <c r="B43" s="94">
        <f>'Summary sheet- CONSOLIDATED'!P87</f>
        <v>2.1419300308257441</v>
      </c>
      <c r="C43" s="94"/>
      <c r="D43" s="94"/>
      <c r="E43" s="94"/>
      <c r="F43" s="94">
        <v>0.7</v>
      </c>
      <c r="G43" s="94"/>
      <c r="H43" s="94">
        <v>0.88</v>
      </c>
      <c r="I43" s="94"/>
      <c r="J43" s="92">
        <v>2.65</v>
      </c>
      <c r="K43" s="92"/>
    </row>
    <row r="44" spans="1:11">
      <c r="A44" s="92" t="s">
        <v>146</v>
      </c>
      <c r="B44" s="95">
        <f>'Summary sheet- CONSOLIDATED'!P80</f>
        <v>84.299842771374699</v>
      </c>
      <c r="C44" s="95"/>
      <c r="D44" s="95">
        <v>89.73</v>
      </c>
      <c r="E44" s="95"/>
      <c r="F44" s="95">
        <v>54.84</v>
      </c>
      <c r="G44" s="95"/>
      <c r="H44" s="95">
        <v>97.49</v>
      </c>
      <c r="I44" s="95"/>
      <c r="J44" s="95">
        <v>80.39</v>
      </c>
      <c r="K44" s="95"/>
    </row>
    <row r="45" spans="1:11">
      <c r="A45" s="92" t="s">
        <v>56</v>
      </c>
      <c r="B45" s="96">
        <f>'Summary sheet- CONSOLIDATED'!P82</f>
        <v>499.39973502089833</v>
      </c>
      <c r="C45" s="96"/>
      <c r="D45" s="96">
        <v>130.1</v>
      </c>
      <c r="E45" s="96"/>
      <c r="F45" s="99">
        <v>64.510000000000005</v>
      </c>
      <c r="G45" s="99"/>
      <c r="H45" s="96">
        <v>70.13</v>
      </c>
      <c r="I45" s="96"/>
      <c r="J45" s="96">
        <v>101.51</v>
      </c>
      <c r="K45" s="96"/>
    </row>
    <row r="46" spans="1:11">
      <c r="A46" s="92" t="s">
        <v>147</v>
      </c>
      <c r="B46" s="95">
        <f>'Summary sheet- CONSOLIDATED'!P81</f>
        <v>79.387243535694225</v>
      </c>
      <c r="C46" s="95"/>
      <c r="D46" s="95">
        <v>68.69</v>
      </c>
      <c r="E46" s="95"/>
      <c r="F46" s="100">
        <v>14.5</v>
      </c>
      <c r="G46" s="100"/>
      <c r="H46" s="95">
        <v>68.680000000000007</v>
      </c>
      <c r="I46" s="95"/>
      <c r="J46" s="95">
        <v>72.27</v>
      </c>
      <c r="K46" s="95"/>
    </row>
    <row r="47" spans="1:11">
      <c r="A47" s="92" t="s">
        <v>148</v>
      </c>
      <c r="B47" s="95">
        <f>'Summary sheet- CONSOLIDATED'!P83</f>
        <v>504.31233425657877</v>
      </c>
      <c r="C47" s="95"/>
      <c r="D47" s="95">
        <v>151.13999999999999</v>
      </c>
      <c r="E47" s="95"/>
      <c r="F47" s="100">
        <v>104.84</v>
      </c>
      <c r="G47" s="100"/>
      <c r="H47" s="95">
        <v>98.94</v>
      </c>
      <c r="I47" s="95"/>
      <c r="J47" s="95">
        <v>109.63</v>
      </c>
      <c r="K47" s="95"/>
    </row>
    <row r="48" spans="1:11">
      <c r="A48" s="92" t="s">
        <v>149</v>
      </c>
      <c r="B48" s="97">
        <f>'Summary sheet- CONSOLIDATED'!P77</f>
        <v>0.66611544768310282</v>
      </c>
      <c r="C48" s="97"/>
      <c r="D48" s="97">
        <v>0.16</v>
      </c>
      <c r="E48" s="97"/>
      <c r="F48" s="97">
        <v>0.03</v>
      </c>
      <c r="G48" s="97"/>
      <c r="H48" s="97">
        <v>0.77</v>
      </c>
      <c r="I48" s="97"/>
      <c r="J48" s="92">
        <v>1.31</v>
      </c>
      <c r="K48" s="92"/>
    </row>
    <row r="49" spans="1:11">
      <c r="A49" s="92" t="s">
        <v>150</v>
      </c>
      <c r="B49" s="97">
        <f>'Summary sheet- CONSOLIDATED'!P86</f>
        <v>2.6246839146517331</v>
      </c>
      <c r="C49" s="97"/>
      <c r="D49" s="97">
        <v>4.58</v>
      </c>
      <c r="E49" s="97"/>
      <c r="F49" s="97">
        <v>44.94</v>
      </c>
      <c r="G49" s="97"/>
      <c r="H49" s="97">
        <v>5.38</v>
      </c>
      <c r="I49" s="97"/>
      <c r="J49" s="92">
        <v>2.2200000000000002</v>
      </c>
      <c r="K49" s="92"/>
    </row>
    <row r="50" spans="1:11">
      <c r="A50" s="92" t="s">
        <v>151</v>
      </c>
      <c r="B50" s="98">
        <f>'Summary sheet- CONSOLIDATED'!P85</f>
        <v>9.2860604784501422E-2</v>
      </c>
      <c r="C50" s="98"/>
      <c r="D50" s="98">
        <f>470.2/D18</f>
        <v>5.0584704097769842E-2</v>
      </c>
      <c r="E50" s="98"/>
      <c r="F50" s="98">
        <f>40.8/F18</f>
        <v>0.24156305506216694</v>
      </c>
      <c r="G50" s="98"/>
      <c r="H50" s="98">
        <f>3418/H18</f>
        <v>4.8543551433724845E-2</v>
      </c>
      <c r="I50" s="98"/>
      <c r="J50" s="98">
        <f>476.3/J18</f>
        <v>9.8739582901447007E-2</v>
      </c>
      <c r="K50" s="98"/>
    </row>
  </sheetData>
  <mergeCells count="11">
    <mergeCell ref="M3:Q3"/>
    <mergeCell ref="B2:C2"/>
    <mergeCell ref="D2:E2"/>
    <mergeCell ref="F2:G2"/>
    <mergeCell ref="H2:I2"/>
    <mergeCell ref="J2:K2"/>
    <mergeCell ref="A1:K1"/>
    <mergeCell ref="A16:K16"/>
    <mergeCell ref="A23:K23"/>
    <mergeCell ref="A31:K31"/>
    <mergeCell ref="A37:J37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9"/>
  <sheetViews>
    <sheetView topLeftCell="A15" zoomScale="162" workbookViewId="0">
      <selection activeCell="E19" sqref="E19"/>
    </sheetView>
  </sheetViews>
  <sheetFormatPr defaultColWidth="8.6640625" defaultRowHeight="14.4"/>
  <cols>
    <col min="2" max="2" width="37" bestFit="1" customWidth="1"/>
    <col min="3" max="3" width="7.6640625" bestFit="1" customWidth="1"/>
    <col min="4" max="4" width="8.44140625" bestFit="1" customWidth="1"/>
    <col min="5" max="5" width="8.109375" bestFit="1" customWidth="1"/>
    <col min="11" max="11" width="10.109375" bestFit="1" customWidth="1"/>
  </cols>
  <sheetData>
    <row r="2" spans="2:11">
      <c r="B2" s="342" t="s">
        <v>77</v>
      </c>
      <c r="C2" s="342"/>
      <c r="D2" s="342"/>
      <c r="E2" s="342"/>
      <c r="G2" s="343" t="s">
        <v>171</v>
      </c>
      <c r="H2" s="343"/>
      <c r="I2" s="343"/>
      <c r="K2" s="112" t="s">
        <v>172</v>
      </c>
    </row>
    <row r="3" spans="2:11">
      <c r="B3" s="19" t="s">
        <v>0</v>
      </c>
      <c r="C3" s="111" t="s">
        <v>72</v>
      </c>
      <c r="D3" s="16" t="s">
        <v>78</v>
      </c>
      <c r="E3" s="16" t="s">
        <v>161</v>
      </c>
      <c r="G3" s="91" t="s">
        <v>72</v>
      </c>
      <c r="H3" s="91" t="s">
        <v>78</v>
      </c>
      <c r="I3" s="91" t="s">
        <v>152</v>
      </c>
      <c r="K3" s="112" t="s">
        <v>173</v>
      </c>
    </row>
    <row r="4" spans="2:11">
      <c r="B4" s="20" t="s">
        <v>79</v>
      </c>
      <c r="C4" s="62">
        <v>3029.7579999999998</v>
      </c>
      <c r="D4" s="62">
        <v>4046.7040000000002</v>
      </c>
      <c r="E4" s="62">
        <v>2284</v>
      </c>
      <c r="G4" s="109">
        <f>C4/C$4</f>
        <v>1</v>
      </c>
      <c r="H4" s="109">
        <f>D4/D$4</f>
        <v>1</v>
      </c>
      <c r="I4" s="109">
        <f>E4/E$4</f>
        <v>1</v>
      </c>
      <c r="K4" s="109">
        <f>D4/C4-1</f>
        <v>0.33565255046772724</v>
      </c>
    </row>
    <row r="5" spans="2:11">
      <c r="B5" s="25" t="s">
        <v>1</v>
      </c>
      <c r="C5" s="63"/>
      <c r="D5" s="63">
        <f>(D4/C4-1)</f>
        <v>0.33565255046772724</v>
      </c>
      <c r="E5" s="63"/>
      <c r="G5" s="110"/>
      <c r="H5" s="110"/>
      <c r="I5" s="110"/>
      <c r="K5" s="109"/>
    </row>
    <row r="6" spans="2:11">
      <c r="B6" s="25" t="s">
        <v>82</v>
      </c>
      <c r="C6" s="64"/>
      <c r="D6" s="63"/>
      <c r="E6" s="63"/>
      <c r="G6" s="110"/>
      <c r="H6" s="110"/>
      <c r="I6" s="110"/>
      <c r="K6" s="109"/>
    </row>
    <row r="7" spans="2:11">
      <c r="B7" s="24" t="s">
        <v>2</v>
      </c>
      <c r="C7" s="64">
        <f>SUM(C8:C16)</f>
        <v>2099.6</v>
      </c>
      <c r="D7" s="64">
        <f>SUM(D8:D16)</f>
        <v>2557.8829999999998</v>
      </c>
      <c r="E7" s="64">
        <f>SUM(E8:E16)</f>
        <v>1725.9919999999997</v>
      </c>
      <c r="G7" s="109">
        <f>C7/C$4</f>
        <v>0.69299264165652841</v>
      </c>
      <c r="H7" s="109">
        <f>D7/D$4</f>
        <v>0.63209046176839223</v>
      </c>
      <c r="I7" s="109">
        <f>E7/E$4</f>
        <v>0.75568826619964957</v>
      </c>
      <c r="K7" s="109">
        <f>D7/C7-1</f>
        <v>0.21827157553819765</v>
      </c>
    </row>
    <row r="8" spans="2:11">
      <c r="B8" s="5" t="s">
        <v>83</v>
      </c>
      <c r="C8" s="65">
        <v>849.024</v>
      </c>
      <c r="D8" s="65">
        <v>1032</v>
      </c>
      <c r="E8" s="65">
        <v>736.36199999999997</v>
      </c>
      <c r="G8" s="109">
        <f t="shared" ref="G8:G17" si="0">C8/C$4</f>
        <v>0.28022832186597085</v>
      </c>
      <c r="H8" s="109">
        <f t="shared" ref="H8:I17" si="1">D8/D$4</f>
        <v>0.255022358937051</v>
      </c>
      <c r="I8" s="109">
        <f t="shared" si="1"/>
        <v>0.3224001751313485</v>
      </c>
      <c r="K8" s="109">
        <f>D8/C8-1</f>
        <v>0.21551334237901409</v>
      </c>
    </row>
    <row r="9" spans="2:11">
      <c r="B9" s="5" t="s">
        <v>111</v>
      </c>
      <c r="C9" s="65">
        <v>2.88</v>
      </c>
      <c r="D9" s="65">
        <v>18.754000000000001</v>
      </c>
      <c r="E9" s="65">
        <v>3.6920000000000002</v>
      </c>
      <c r="G9" s="109">
        <f t="shared" si="0"/>
        <v>9.5057096969460931E-4</v>
      </c>
      <c r="H9" s="109">
        <f t="shared" si="1"/>
        <v>4.6343888754897811E-3</v>
      </c>
      <c r="I9" s="109">
        <f t="shared" si="1"/>
        <v>1.61646234676007E-3</v>
      </c>
      <c r="K9" s="109">
        <f>D9/C9-1</f>
        <v>5.5118055555555561</v>
      </c>
    </row>
    <row r="10" spans="2:11">
      <c r="B10" s="5" t="s">
        <v>153</v>
      </c>
      <c r="C10" s="65">
        <v>-53.892000000000003</v>
      </c>
      <c r="D10" s="65">
        <v>-128.23500000000001</v>
      </c>
      <c r="E10" s="65">
        <v>-163.45699999999999</v>
      </c>
      <c r="G10" s="109">
        <f t="shared" si="0"/>
        <v>-1.778755927041038E-2</v>
      </c>
      <c r="H10" s="109">
        <f t="shared" si="1"/>
        <v>-3.1688752130128617E-2</v>
      </c>
      <c r="I10" s="109">
        <f t="shared" si="1"/>
        <v>-7.1566112084063049E-2</v>
      </c>
      <c r="K10" s="109"/>
    </row>
    <row r="11" spans="2:11">
      <c r="B11" s="5" t="s">
        <v>154</v>
      </c>
      <c r="C11" s="65">
        <v>3.1</v>
      </c>
      <c r="D11" s="65"/>
      <c r="E11" s="65"/>
      <c r="G11" s="109">
        <f t="shared" si="0"/>
        <v>1.0231840298796143E-3</v>
      </c>
      <c r="H11" s="109">
        <f t="shared" si="1"/>
        <v>0</v>
      </c>
      <c r="I11" s="109">
        <f t="shared" si="1"/>
        <v>0</v>
      </c>
      <c r="K11" s="109"/>
    </row>
    <row r="12" spans="2:11">
      <c r="B12" s="5" t="s">
        <v>162</v>
      </c>
      <c r="C12" s="65"/>
      <c r="D12" s="65">
        <v>231.29400000000001</v>
      </c>
      <c r="E12" s="65">
        <v>87.847999999999999</v>
      </c>
      <c r="G12" s="109">
        <f t="shared" si="0"/>
        <v>0</v>
      </c>
      <c r="H12" s="109">
        <f t="shared" si="1"/>
        <v>5.7156144852699875E-2</v>
      </c>
      <c r="I12" s="109">
        <f t="shared" si="1"/>
        <v>3.846234676007005E-2</v>
      </c>
      <c r="K12" s="109"/>
    </row>
    <row r="13" spans="2:11">
      <c r="B13" s="5" t="s">
        <v>163</v>
      </c>
      <c r="C13" s="65"/>
      <c r="D13" s="65">
        <v>6.4340000000000002</v>
      </c>
      <c r="E13" s="65">
        <v>1.077</v>
      </c>
      <c r="G13" s="109">
        <f t="shared" si="0"/>
        <v>0</v>
      </c>
      <c r="H13" s="109">
        <f t="shared" si="1"/>
        <v>1.5899359083342889E-3</v>
      </c>
      <c r="I13" s="109">
        <f t="shared" si="1"/>
        <v>4.7154115586690013E-4</v>
      </c>
      <c r="K13" s="109"/>
    </row>
    <row r="14" spans="2:11">
      <c r="B14" s="5" t="s">
        <v>164</v>
      </c>
      <c r="C14" s="65"/>
      <c r="D14" s="65">
        <v>22.334</v>
      </c>
      <c r="E14" s="65"/>
      <c r="G14" s="109">
        <f t="shared" si="0"/>
        <v>0</v>
      </c>
      <c r="H14" s="109">
        <f t="shared" si="1"/>
        <v>5.5190594617248994E-3</v>
      </c>
      <c r="I14" s="109">
        <f t="shared" si="1"/>
        <v>0</v>
      </c>
      <c r="K14" s="109"/>
    </row>
    <row r="15" spans="2:11">
      <c r="B15" s="5" t="s">
        <v>58</v>
      </c>
      <c r="C15" s="65">
        <v>398.303</v>
      </c>
      <c r="D15" s="65">
        <v>531.779</v>
      </c>
      <c r="E15" s="65">
        <v>390.46600000000001</v>
      </c>
      <c r="G15" s="109">
        <f t="shared" si="0"/>
        <v>0.13146363504939998</v>
      </c>
      <c r="H15" s="109">
        <f t="shared" si="1"/>
        <v>0.1314104021445601</v>
      </c>
      <c r="I15" s="109">
        <f t="shared" si="1"/>
        <v>0.17095709281961471</v>
      </c>
      <c r="K15" s="109">
        <f>D15/C15-1</f>
        <v>0.33511171143576624</v>
      </c>
    </row>
    <row r="16" spans="2:11">
      <c r="B16" s="5" t="s">
        <v>60</v>
      </c>
      <c r="C16" s="65">
        <v>900.18499999999995</v>
      </c>
      <c r="D16" s="65">
        <v>843.52300000000002</v>
      </c>
      <c r="E16" s="65">
        <v>670.00400000000002</v>
      </c>
      <c r="G16" s="109">
        <f t="shared" si="0"/>
        <v>0.29711448901199372</v>
      </c>
      <c r="H16" s="109">
        <f t="shared" si="1"/>
        <v>0.20844692371866091</v>
      </c>
      <c r="I16" s="109">
        <f t="shared" si="1"/>
        <v>0.29334676007005256</v>
      </c>
      <c r="K16" s="109">
        <f>D16/C16-1</f>
        <v>-6.2944839116403806E-2</v>
      </c>
    </row>
    <row r="17" spans="2:11">
      <c r="B17" s="24" t="s">
        <v>3</v>
      </c>
      <c r="C17" s="64">
        <f>(C4-C7)</f>
        <v>930.1579999999999</v>
      </c>
      <c r="D17" s="64">
        <f>(D4-D7)</f>
        <v>1488.8210000000004</v>
      </c>
      <c r="E17" s="64">
        <f>(E4-E7)</f>
        <v>558.00800000000027</v>
      </c>
      <c r="G17" s="109">
        <f t="shared" si="0"/>
        <v>0.30700735834347165</v>
      </c>
      <c r="H17" s="109">
        <f t="shared" si="1"/>
        <v>0.36790953823160782</v>
      </c>
      <c r="I17" s="109">
        <f t="shared" si="1"/>
        <v>0.24431173380035037</v>
      </c>
      <c r="K17" s="109">
        <f>D17/C17-1</f>
        <v>0.60061086396074703</v>
      </c>
    </row>
    <row r="18" spans="2:11">
      <c r="B18" s="25" t="s">
        <v>1</v>
      </c>
      <c r="C18" s="63"/>
      <c r="D18" s="63">
        <f t="shared" ref="D18" si="2">(D17/C17-1)</f>
        <v>0.60061086396074703</v>
      </c>
      <c r="E18" s="63"/>
      <c r="G18" s="92"/>
      <c r="H18" s="92"/>
      <c r="I18" s="92"/>
      <c r="K18" s="109"/>
    </row>
    <row r="19" spans="2:11">
      <c r="B19" s="25" t="s">
        <v>82</v>
      </c>
      <c r="C19" s="63"/>
      <c r="D19" s="63"/>
      <c r="E19" s="63"/>
      <c r="G19" s="92"/>
      <c r="H19" s="92"/>
      <c r="I19" s="92"/>
      <c r="K19" s="109"/>
    </row>
    <row r="20" spans="2:11">
      <c r="B20" s="24" t="s">
        <v>4</v>
      </c>
      <c r="C20" s="66">
        <f>(C17/C4)</f>
        <v>0.30700735834347165</v>
      </c>
      <c r="D20" s="66">
        <f>(D17/D4)</f>
        <v>0.36790953823160782</v>
      </c>
      <c r="E20" s="66">
        <f>(E17/E4)</f>
        <v>0.24431173380035037</v>
      </c>
      <c r="G20" s="92"/>
      <c r="H20" s="92"/>
      <c r="I20" s="92"/>
      <c r="K20" s="109"/>
    </row>
    <row r="21" spans="2:11">
      <c r="B21" s="5" t="s">
        <v>87</v>
      </c>
      <c r="C21" s="65">
        <v>123.631</v>
      </c>
      <c r="D21" s="65">
        <v>206.53100000000001</v>
      </c>
      <c r="E21" s="65">
        <v>110.3</v>
      </c>
      <c r="G21" s="109">
        <f t="shared" ref="G21:G24" si="3">C21/C$4</f>
        <v>4.0805569289692444E-2</v>
      </c>
      <c r="H21" s="109">
        <f t="shared" ref="H21:I24" si="4">D21/D$4</f>
        <v>5.1036843811655117E-2</v>
      </c>
      <c r="I21" s="109">
        <f t="shared" si="4"/>
        <v>4.8292469352014006E-2</v>
      </c>
      <c r="K21" s="109">
        <f>D21/C21-1</f>
        <v>0.67054379564995847</v>
      </c>
    </row>
    <row r="22" spans="2:11">
      <c r="B22" s="5" t="s">
        <v>88</v>
      </c>
      <c r="C22" s="65">
        <v>136.33799999999999</v>
      </c>
      <c r="D22" s="65">
        <v>118.875</v>
      </c>
      <c r="E22" s="65">
        <v>151.49199999999999</v>
      </c>
      <c r="G22" s="109">
        <f t="shared" si="3"/>
        <v>4.4999633634105432E-2</v>
      </c>
      <c r="H22" s="109">
        <f t="shared" si="4"/>
        <v>2.93757586420949E-2</v>
      </c>
      <c r="I22" s="109">
        <f t="shared" si="4"/>
        <v>6.632749562171629E-2</v>
      </c>
      <c r="K22" s="109">
        <f>D22/C22-1</f>
        <v>-0.12808608018307432</v>
      </c>
    </row>
    <row r="23" spans="2:11">
      <c r="B23" s="5" t="s">
        <v>90</v>
      </c>
      <c r="C23" s="65">
        <v>0</v>
      </c>
      <c r="D23" s="65">
        <v>0</v>
      </c>
      <c r="E23" s="65">
        <v>0</v>
      </c>
      <c r="G23" s="109">
        <f t="shared" si="3"/>
        <v>0</v>
      </c>
      <c r="H23" s="109">
        <f t="shared" si="4"/>
        <v>0</v>
      </c>
      <c r="I23" s="109">
        <f t="shared" si="4"/>
        <v>0</v>
      </c>
      <c r="K23" s="109"/>
    </row>
    <row r="24" spans="2:11">
      <c r="B24" s="5" t="s">
        <v>5</v>
      </c>
      <c r="C24" s="65">
        <v>89.483999999999995</v>
      </c>
      <c r="D24" s="65">
        <v>123.652</v>
      </c>
      <c r="E24" s="65">
        <v>96.8</v>
      </c>
      <c r="G24" s="109">
        <f t="shared" si="3"/>
        <v>2.9535032170886256E-2</v>
      </c>
      <c r="H24" s="109">
        <f t="shared" si="4"/>
        <v>3.0556225510934329E-2</v>
      </c>
      <c r="I24" s="109">
        <f t="shared" si="4"/>
        <v>4.2381786339754812E-2</v>
      </c>
      <c r="K24" s="109">
        <f>D24/C24-1</f>
        <v>0.38183362388806952</v>
      </c>
    </row>
    <row r="25" spans="2:11">
      <c r="B25" s="24" t="s">
        <v>6</v>
      </c>
      <c r="C25" s="64">
        <f t="shared" ref="C25:E25" si="5">(C17-C21-C22+C23+C24)</f>
        <v>759.673</v>
      </c>
      <c r="D25" s="64">
        <f t="shared" si="5"/>
        <v>1287.0670000000005</v>
      </c>
      <c r="E25" s="64">
        <f t="shared" si="5"/>
        <v>393.01600000000025</v>
      </c>
      <c r="G25" s="109">
        <f>C25/C$4</f>
        <v>0.25073718759056007</v>
      </c>
      <c r="H25" s="109">
        <f>D25/D$4</f>
        <v>0.31805316128879219</v>
      </c>
      <c r="I25" s="109">
        <f>E25/E$4</f>
        <v>0.1720735551663749</v>
      </c>
      <c r="K25" s="109">
        <f>D25/C25-1</f>
        <v>0.69423817879535066</v>
      </c>
    </row>
    <row r="26" spans="2:11">
      <c r="B26" s="5" t="s">
        <v>7</v>
      </c>
      <c r="C26" s="65">
        <f>211.323</f>
        <v>211.32300000000001</v>
      </c>
      <c r="D26" s="65">
        <v>108.035</v>
      </c>
      <c r="E26" s="65">
        <v>-170.9</v>
      </c>
      <c r="G26" s="92"/>
      <c r="H26" s="92"/>
      <c r="I26" s="92"/>
      <c r="K26" s="109">
        <f>D26/C26-1</f>
        <v>-0.48876837826455244</v>
      </c>
    </row>
    <row r="27" spans="2:11">
      <c r="B27" s="25" t="s">
        <v>8</v>
      </c>
      <c r="C27" s="63">
        <f>(C26/C25)</f>
        <v>0.27817626794686662</v>
      </c>
      <c r="D27" s="63">
        <f>(D26/D25)</f>
        <v>8.3938909163236999E-2</v>
      </c>
      <c r="E27" s="63">
        <f>(E26/E25)</f>
        <v>-0.43484234738534794</v>
      </c>
      <c r="G27" s="92"/>
      <c r="H27" s="92"/>
      <c r="I27" s="92"/>
      <c r="K27" s="109">
        <f>D27/C27-1</f>
        <v>-0.6982528028621412</v>
      </c>
    </row>
    <row r="28" spans="2:11">
      <c r="B28" s="24" t="s">
        <v>9</v>
      </c>
      <c r="C28" s="64">
        <f t="shared" ref="C28:E28" si="6">(C25-C26)</f>
        <v>548.35</v>
      </c>
      <c r="D28" s="64">
        <f t="shared" si="6"/>
        <v>1179.0320000000004</v>
      </c>
      <c r="E28" s="64">
        <f t="shared" si="6"/>
        <v>563.91600000000028</v>
      </c>
      <c r="G28" s="109">
        <f>C28/C$4</f>
        <v>0.18098805251112468</v>
      </c>
      <c r="H28" s="109">
        <f>D28/D$4</f>
        <v>0.29135612587429183</v>
      </c>
      <c r="I28" s="109">
        <f>E28/E$4</f>
        <v>0.24689842381786353</v>
      </c>
      <c r="K28" s="109">
        <f>D28/C28-1</f>
        <v>1.1501449803957331</v>
      </c>
    </row>
    <row r="29" spans="2:11">
      <c r="B29" s="24" t="s">
        <v>70</v>
      </c>
      <c r="C29" s="67">
        <f>C28/C4</f>
        <v>0.18098805251112468</v>
      </c>
      <c r="D29" s="67">
        <f>D28/D4</f>
        <v>0.29135612587429183</v>
      </c>
      <c r="E29" s="67">
        <f>E28/E4</f>
        <v>0.24689842381786353</v>
      </c>
      <c r="G29" s="92"/>
      <c r="H29" s="92"/>
      <c r="I29" s="92"/>
      <c r="K29" s="109"/>
    </row>
    <row r="30" spans="2:11">
      <c r="B30" s="5" t="s">
        <v>10</v>
      </c>
      <c r="C30" s="68">
        <v>1.2999999999999999E-2</v>
      </c>
      <c r="D30" s="68">
        <v>-0.216</v>
      </c>
      <c r="E30" s="68">
        <v>-6.6E-3</v>
      </c>
      <c r="G30" s="92"/>
      <c r="H30" s="92"/>
      <c r="I30" s="92"/>
      <c r="K30" s="109"/>
    </row>
    <row r="31" spans="2:11">
      <c r="B31" s="5" t="s">
        <v>93</v>
      </c>
      <c r="C31" s="68">
        <v>-24.838000000000001</v>
      </c>
      <c r="D31" s="68">
        <v>0</v>
      </c>
      <c r="E31" s="68">
        <v>0</v>
      </c>
      <c r="G31" s="92"/>
      <c r="H31" s="92"/>
      <c r="I31" s="92"/>
      <c r="K31" s="109"/>
    </row>
    <row r="32" spans="2:11">
      <c r="B32" s="5" t="s">
        <v>155</v>
      </c>
      <c r="C32" s="68">
        <v>-60.106000000000002</v>
      </c>
      <c r="D32" s="68">
        <v>-4.2779999999999996</v>
      </c>
      <c r="E32" s="68"/>
      <c r="G32" s="92"/>
      <c r="H32" s="92"/>
      <c r="I32" s="92"/>
      <c r="K32" s="109"/>
    </row>
    <row r="33" spans="2:11">
      <c r="B33" s="5" t="s">
        <v>61</v>
      </c>
      <c r="C33" s="68">
        <f>0.269</f>
        <v>0.26900000000000002</v>
      </c>
      <c r="D33" s="68">
        <v>-14.861000000000001</v>
      </c>
      <c r="E33" s="68">
        <v>0.80300000000000005</v>
      </c>
      <c r="G33" s="92"/>
      <c r="H33" s="92"/>
      <c r="I33" s="92"/>
      <c r="K33" s="109"/>
    </row>
    <row r="34" spans="2:11">
      <c r="B34" s="24" t="s">
        <v>94</v>
      </c>
      <c r="C34" s="69">
        <f>(C28-C30+C32+C33+C31)</f>
        <v>463.66199999999998</v>
      </c>
      <c r="D34" s="69">
        <f t="shared" ref="D34:E34" si="7">(D28-D30+D32+D33+D31)</f>
        <v>1160.1090000000002</v>
      </c>
      <c r="E34" s="69">
        <f t="shared" si="7"/>
        <v>564.72560000000033</v>
      </c>
      <c r="G34" s="109">
        <f>C34/C$4</f>
        <v>0.15303598505227151</v>
      </c>
      <c r="H34" s="109">
        <f>D34/D$4</f>
        <v>0.28667997461637917</v>
      </c>
      <c r="I34" s="109">
        <f>E34/E$4</f>
        <v>0.24725288966725059</v>
      </c>
      <c r="K34" s="109">
        <f>D34/C34-1</f>
        <v>1.502057533289336</v>
      </c>
    </row>
    <row r="35" spans="2:11">
      <c r="B35" s="25" t="s">
        <v>1</v>
      </c>
      <c r="C35" s="63"/>
      <c r="D35" s="63">
        <f>(D34/C34-1)</f>
        <v>1.502057533289336</v>
      </c>
      <c r="E35" s="63"/>
      <c r="G35" s="92"/>
      <c r="H35" s="92"/>
      <c r="I35" s="92"/>
      <c r="K35" s="92"/>
    </row>
    <row r="36" spans="2:11">
      <c r="B36" s="25" t="s">
        <v>95</v>
      </c>
      <c r="C36" s="63"/>
      <c r="D36" s="63"/>
      <c r="E36" s="63"/>
      <c r="G36" s="92"/>
      <c r="H36" s="92"/>
      <c r="I36" s="92"/>
      <c r="K36" s="92"/>
    </row>
    <row r="37" spans="2:11">
      <c r="B37" s="20" t="s">
        <v>11</v>
      </c>
      <c r="C37" s="70">
        <v>36.75</v>
      </c>
      <c r="D37" s="70">
        <v>40.700000000000003</v>
      </c>
      <c r="E37" s="70">
        <v>19.47</v>
      </c>
      <c r="G37" s="92"/>
      <c r="H37" s="92"/>
      <c r="I37" s="92"/>
      <c r="K37" s="92"/>
    </row>
    <row r="38" spans="2:11">
      <c r="B38" s="31" t="s">
        <v>1</v>
      </c>
      <c r="C38" s="71"/>
      <c r="D38" s="71" t="s">
        <v>165</v>
      </c>
      <c r="E38" s="71"/>
      <c r="G38" s="92"/>
      <c r="H38" s="92"/>
      <c r="I38" s="92"/>
      <c r="K38" s="92"/>
    </row>
    <row r="39" spans="2:11">
      <c r="B39" s="31" t="s">
        <v>95</v>
      </c>
      <c r="C39" s="63"/>
      <c r="D39" s="63"/>
      <c r="E39" s="63"/>
      <c r="G39" s="92"/>
      <c r="H39" s="92"/>
      <c r="I39" s="92"/>
      <c r="K39" s="92"/>
    </row>
  </sheetData>
  <mergeCells count="2">
    <mergeCell ref="B2:E2"/>
    <mergeCell ref="G2:I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sheet- CONSOLIDATED</vt:lpstr>
      <vt:lpstr>Standalone</vt:lpstr>
      <vt:lpstr>Final</vt:lpstr>
      <vt:lpstr>Vertical and Horizontal Analysi</vt:lpstr>
      <vt:lpstr>'Summary sheet- CONSOLIDATED'!Print_Area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Deep</cp:lastModifiedBy>
  <cp:lastPrinted>2021-02-27T14:24:06Z</cp:lastPrinted>
  <dcterms:created xsi:type="dcterms:W3CDTF">2017-09-19T08:05:47Z</dcterms:created>
  <dcterms:modified xsi:type="dcterms:W3CDTF">2023-06-18T10:39:23Z</dcterms:modified>
</cp:coreProperties>
</file>