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EE6DA29-B4B1-4FEE-9F9D-B303A1022348}" xr6:coauthVersionLast="47" xr6:coauthVersionMax="47" xr10:uidLastSave="{00000000-0000-0000-0000-000000000000}"/>
  <bookViews>
    <workbookView xWindow="-120" yWindow="-120" windowWidth="29040" windowHeight="15720" tabRatio="769" firstSheet="1" activeTab="1" xr2:uid="{00000000-000D-0000-FFFF-FFFF00000000}"/>
  </bookViews>
  <sheets>
    <sheet name="Peer Analysis" sheetId="10" state="hidden" r:id="rId1"/>
    <sheet name="Consol" sheetId="1" r:id="rId2"/>
    <sheet name="Peer Sheet" sheetId="11" state="hidden" r:id="rId3"/>
  </sheets>
  <externalReferences>
    <externalReference r:id="rId4"/>
  </externalReferences>
  <definedNames>
    <definedName name="_xlnm.Print_Area" localSheetId="1">Consol!$A$1:$S$79</definedName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5" i="1" l="1"/>
  <c r="S63" i="1"/>
  <c r="I40" i="1"/>
  <c r="H40" i="1"/>
  <c r="I35" i="1"/>
  <c r="H35" i="1"/>
  <c r="H34" i="1"/>
  <c r="S22" i="1"/>
  <c r="S25" i="1"/>
  <c r="S56" i="1" s="1"/>
  <c r="I31" i="1"/>
  <c r="H31" i="1"/>
  <c r="E31" i="1"/>
  <c r="G31" i="1"/>
  <c r="S66" i="1"/>
  <c r="R63" i="1"/>
  <c r="I58" i="1"/>
  <c r="S40" i="1"/>
  <c r="S45" i="1" s="1"/>
  <c r="I13" i="1"/>
  <c r="I5" i="1"/>
  <c r="S74" i="1"/>
  <c r="S73" i="1"/>
  <c r="S72" i="1"/>
  <c r="I60" i="1"/>
  <c r="I52" i="1"/>
  <c r="I51" i="1"/>
  <c r="I47" i="1"/>
  <c r="R62" i="1"/>
  <c r="R71" i="1" s="1"/>
  <c r="S62" i="1"/>
  <c r="S71" i="1" s="1"/>
  <c r="S60" i="1"/>
  <c r="S51" i="1"/>
  <c r="S35" i="1"/>
  <c r="S9" i="1"/>
  <c r="I59" i="1" s="1"/>
  <c r="S5" i="1"/>
  <c r="S61" i="1" s="1"/>
  <c r="S64" i="1" s="1"/>
  <c r="I39" i="1"/>
  <c r="I27" i="1"/>
  <c r="I6" i="1"/>
  <c r="I4" i="1"/>
  <c r="H13" i="1"/>
  <c r="D6" i="1"/>
  <c r="E6" i="1"/>
  <c r="F6" i="1"/>
  <c r="G6" i="1"/>
  <c r="H6" i="1"/>
  <c r="C6" i="1"/>
  <c r="R40" i="1"/>
  <c r="R73" i="1" s="1"/>
  <c r="R18" i="1"/>
  <c r="R17" i="1"/>
  <c r="R72" i="1"/>
  <c r="R74" i="1"/>
  <c r="H39" i="1"/>
  <c r="H4" i="1"/>
  <c r="H5" i="1"/>
  <c r="H52" i="1"/>
  <c r="H47" i="1"/>
  <c r="R60" i="1"/>
  <c r="C47" i="1"/>
  <c r="E19" i="11"/>
  <c r="D19" i="11"/>
  <c r="E28" i="11"/>
  <c r="E25" i="11" s="1"/>
  <c r="D28" i="11"/>
  <c r="D25" i="11" s="1"/>
  <c r="E7" i="11"/>
  <c r="D49" i="11"/>
  <c r="D16" i="11"/>
  <c r="E16" i="11"/>
  <c r="E26" i="11" s="1"/>
  <c r="E34" i="11" s="1"/>
  <c r="D10" i="11"/>
  <c r="E10" i="11"/>
  <c r="I49" i="11"/>
  <c r="H49" i="11"/>
  <c r="G49" i="11"/>
  <c r="F49" i="11"/>
  <c r="C49" i="11"/>
  <c r="B49" i="11"/>
  <c r="K46" i="11"/>
  <c r="J46" i="11"/>
  <c r="I46" i="11"/>
  <c r="H46" i="11"/>
  <c r="G46" i="11"/>
  <c r="F46" i="11"/>
  <c r="E46" i="11"/>
  <c r="D46" i="11"/>
  <c r="C46" i="11"/>
  <c r="B46" i="11"/>
  <c r="K40" i="11"/>
  <c r="J40" i="11"/>
  <c r="I40" i="11"/>
  <c r="H40" i="11"/>
  <c r="G40" i="11"/>
  <c r="F40" i="11"/>
  <c r="E40" i="11"/>
  <c r="D40" i="11"/>
  <c r="C40" i="11"/>
  <c r="B40" i="11"/>
  <c r="J39" i="11"/>
  <c r="J33" i="11" s="1"/>
  <c r="F39" i="11"/>
  <c r="B39" i="11"/>
  <c r="B33" i="11" s="1"/>
  <c r="K38" i="11"/>
  <c r="K39" i="11" s="1"/>
  <c r="K33" i="11" s="1"/>
  <c r="J38" i="11"/>
  <c r="I38" i="11"/>
  <c r="I39" i="11" s="1"/>
  <c r="I33" i="11" s="1"/>
  <c r="H38" i="11"/>
  <c r="H39" i="11" s="1"/>
  <c r="H33" i="11" s="1"/>
  <c r="G38" i="11"/>
  <c r="G39" i="11" s="1"/>
  <c r="G33" i="11" s="1"/>
  <c r="F38" i="11"/>
  <c r="E38" i="11"/>
  <c r="D38" i="11"/>
  <c r="C38" i="11"/>
  <c r="C39" i="11" s="1"/>
  <c r="C33" i="11" s="1"/>
  <c r="B38" i="11"/>
  <c r="F33" i="11"/>
  <c r="K31" i="11"/>
  <c r="J31" i="11"/>
  <c r="I31" i="11"/>
  <c r="H31" i="11"/>
  <c r="G31" i="11"/>
  <c r="F31" i="11"/>
  <c r="E31" i="11"/>
  <c r="D31" i="11"/>
  <c r="C31" i="11"/>
  <c r="B31" i="11"/>
  <c r="J25" i="11"/>
  <c r="I26" i="11"/>
  <c r="I34" i="11" s="1"/>
  <c r="K25" i="11"/>
  <c r="I25" i="11"/>
  <c r="H25" i="11"/>
  <c r="G25" i="11"/>
  <c r="F25" i="11"/>
  <c r="C25" i="11"/>
  <c r="B25" i="11"/>
  <c r="K16" i="11"/>
  <c r="K50" i="11" s="1"/>
  <c r="J16" i="11"/>
  <c r="J50" i="11" s="1"/>
  <c r="I16" i="11"/>
  <c r="I47" i="11" s="1"/>
  <c r="H16" i="11"/>
  <c r="H47" i="11" s="1"/>
  <c r="G16" i="11"/>
  <c r="G48" i="11" s="1"/>
  <c r="F16" i="11"/>
  <c r="F48" i="11" s="1"/>
  <c r="C16" i="11"/>
  <c r="C50" i="11" s="1"/>
  <c r="B16" i="11"/>
  <c r="B50" i="11" s="1"/>
  <c r="K10" i="11"/>
  <c r="J10" i="11"/>
  <c r="I10" i="11"/>
  <c r="H10" i="11"/>
  <c r="G10" i="11"/>
  <c r="F10" i="11"/>
  <c r="C10" i="11"/>
  <c r="B10" i="11"/>
  <c r="K7" i="11"/>
  <c r="J7" i="11"/>
  <c r="I7" i="11"/>
  <c r="H7" i="11"/>
  <c r="G7" i="11"/>
  <c r="F7" i="11"/>
  <c r="C7" i="11"/>
  <c r="B7" i="11"/>
  <c r="K49" i="11"/>
  <c r="J49" i="11"/>
  <c r="E49" i="11"/>
  <c r="R66" i="1" l="1"/>
  <c r="S46" i="1"/>
  <c r="I53" i="1"/>
  <c r="S77" i="1"/>
  <c r="I61" i="1"/>
  <c r="S55" i="1"/>
  <c r="S69" i="1"/>
  <c r="S70" i="1"/>
  <c r="S11" i="1"/>
  <c r="S12" i="1"/>
  <c r="S75" i="1"/>
  <c r="I21" i="1"/>
  <c r="I14" i="1"/>
  <c r="I15" i="1"/>
  <c r="C26" i="11"/>
  <c r="C34" i="11" s="1"/>
  <c r="C41" i="11"/>
  <c r="C47" i="11"/>
  <c r="H14" i="1"/>
  <c r="R75" i="1"/>
  <c r="R25" i="1"/>
  <c r="E39" i="11"/>
  <c r="E33" i="11" s="1"/>
  <c r="D39" i="11"/>
  <c r="D33" i="11" s="1"/>
  <c r="D26" i="11"/>
  <c r="D34" i="11" s="1"/>
  <c r="E41" i="11"/>
  <c r="E47" i="11"/>
  <c r="D7" i="11"/>
  <c r="B26" i="11"/>
  <c r="B34" i="11" s="1"/>
  <c r="B48" i="11"/>
  <c r="B41" i="11"/>
  <c r="J26" i="11"/>
  <c r="J34" i="11" s="1"/>
  <c r="K47" i="11"/>
  <c r="K26" i="11"/>
  <c r="K34" i="11" s="1"/>
  <c r="J48" i="11"/>
  <c r="J47" i="11"/>
  <c r="K48" i="11"/>
  <c r="G41" i="11"/>
  <c r="E48" i="11"/>
  <c r="F26" i="11"/>
  <c r="F34" i="11" s="1"/>
  <c r="J41" i="11"/>
  <c r="B47" i="11"/>
  <c r="H48" i="11"/>
  <c r="D50" i="11"/>
  <c r="E50" i="11"/>
  <c r="C48" i="11"/>
  <c r="G26" i="11"/>
  <c r="G34" i="11" s="1"/>
  <c r="K41" i="11"/>
  <c r="I48" i="11"/>
  <c r="H26" i="11"/>
  <c r="H34" i="11" s="1"/>
  <c r="D41" i="11"/>
  <c r="D47" i="11"/>
  <c r="F50" i="11"/>
  <c r="G50" i="11"/>
  <c r="F41" i="11"/>
  <c r="F47" i="11"/>
  <c r="D48" i="11"/>
  <c r="H50" i="11"/>
  <c r="I50" i="11"/>
  <c r="H41" i="11"/>
  <c r="G47" i="11"/>
  <c r="I41" i="11"/>
  <c r="S68" i="1" l="1"/>
  <c r="S78" i="1"/>
  <c r="I24" i="1"/>
  <c r="I23" i="1"/>
  <c r="M72" i="1"/>
  <c r="D52" i="1"/>
  <c r="E52" i="1"/>
  <c r="F52" i="1"/>
  <c r="G52" i="1"/>
  <c r="C52" i="1"/>
  <c r="N17" i="1"/>
  <c r="M17" i="1"/>
  <c r="L5" i="1"/>
  <c r="M5" i="1"/>
  <c r="N5" i="1"/>
  <c r="O5" i="1"/>
  <c r="P5" i="1"/>
  <c r="Q5" i="1"/>
  <c r="R5" i="1"/>
  <c r="R61" i="1" s="1"/>
  <c r="B13" i="1"/>
  <c r="I28" i="1" l="1"/>
  <c r="S67" i="1" s="1"/>
  <c r="H60" i="1"/>
  <c r="H58" i="1"/>
  <c r="H51" i="1"/>
  <c r="I33" i="1" l="1"/>
  <c r="I29" i="1"/>
  <c r="H53" i="1"/>
  <c r="H27" i="1"/>
  <c r="H21" i="1"/>
  <c r="R78" i="1" s="1"/>
  <c r="H24" i="1" l="1"/>
  <c r="I30" i="1" s="1"/>
  <c r="H23" i="1"/>
  <c r="H28" i="1" l="1"/>
  <c r="H33" i="1" s="1"/>
  <c r="I34" i="1" s="1"/>
  <c r="H29" i="1" l="1"/>
  <c r="R67" i="1"/>
  <c r="R51" i="1"/>
  <c r="R45" i="1"/>
  <c r="R35" i="1"/>
  <c r="R9" i="1"/>
  <c r="R70" i="1" l="1"/>
  <c r="R77" i="1"/>
  <c r="R69" i="1"/>
  <c r="H59" i="1"/>
  <c r="H61" i="1" s="1"/>
  <c r="R65" i="1" s="1"/>
  <c r="R11" i="1"/>
  <c r="R64" i="1"/>
  <c r="R46" i="1"/>
  <c r="S76" i="1" s="1"/>
  <c r="R56" i="1"/>
  <c r="R55" i="1"/>
  <c r="R12" i="1" l="1"/>
  <c r="R81" i="1"/>
  <c r="C6" i="10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R82" i="1" l="1"/>
  <c r="R68" i="1"/>
  <c r="C13" i="10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F27" i="1" l="1"/>
  <c r="Q74" i="1"/>
  <c r="Q73" i="1"/>
  <c r="Q72" i="1"/>
  <c r="Q62" i="1"/>
  <c r="Q66" i="1"/>
  <c r="G40" i="1"/>
  <c r="G39" i="1"/>
  <c r="G5" i="1"/>
  <c r="G4" i="1"/>
  <c r="Q71" i="1" l="1"/>
  <c r="Q75" i="1"/>
  <c r="P66" i="1" l="1"/>
  <c r="O66" i="1"/>
  <c r="N66" i="1"/>
  <c r="M66" i="1"/>
  <c r="O74" i="1" l="1"/>
  <c r="N74" i="1"/>
  <c r="M74" i="1"/>
  <c r="O73" i="1"/>
  <c r="N73" i="1"/>
  <c r="M73" i="1"/>
  <c r="P74" i="1"/>
  <c r="P73" i="1"/>
  <c r="M75" i="1" l="1"/>
  <c r="M62" i="1"/>
  <c r="M71" i="1" s="1"/>
  <c r="L62" i="1"/>
  <c r="L71" i="1" s="1"/>
  <c r="N62" i="1"/>
  <c r="O62" i="1"/>
  <c r="P62" i="1"/>
  <c r="P71" i="1" s="1"/>
  <c r="N72" i="1"/>
  <c r="O72" i="1"/>
  <c r="O75" i="1" s="1"/>
  <c r="P72" i="1"/>
  <c r="P75" i="1" s="1"/>
  <c r="P60" i="1"/>
  <c r="P63" i="1" s="1"/>
  <c r="O60" i="1"/>
  <c r="O63" i="1" s="1"/>
  <c r="N60" i="1"/>
  <c r="N63" i="1" s="1"/>
  <c r="M60" i="1"/>
  <c r="M63" i="1" s="1"/>
  <c r="L60" i="1"/>
  <c r="L63" i="1" s="1"/>
  <c r="Q60" i="1"/>
  <c r="Q63" i="1" s="1"/>
  <c r="E58" i="1"/>
  <c r="D58" i="1"/>
  <c r="C58" i="1"/>
  <c r="B56" i="1"/>
  <c r="B58" i="1" s="1"/>
  <c r="F58" i="1"/>
  <c r="F51" i="1"/>
  <c r="E51" i="1"/>
  <c r="D51" i="1"/>
  <c r="C51" i="1"/>
  <c r="B51" i="1"/>
  <c r="G51" i="1"/>
  <c r="G58" i="1" l="1"/>
  <c r="N71" i="1"/>
  <c r="N75" i="1"/>
  <c r="O71" i="1"/>
  <c r="G47" i="1"/>
  <c r="E47" i="1"/>
  <c r="D47" i="1"/>
  <c r="B47" i="1"/>
  <c r="F40" i="1"/>
  <c r="E40" i="1"/>
  <c r="E5" i="1"/>
  <c r="F5" i="1"/>
  <c r="F47" i="1" l="1"/>
  <c r="G53" i="1" l="1"/>
  <c r="F53" i="1"/>
  <c r="E53" i="1"/>
  <c r="D53" i="1"/>
  <c r="C53" i="1"/>
  <c r="B53" i="1"/>
  <c r="B48" i="1"/>
  <c r="B14" i="1"/>
  <c r="C4" i="1"/>
  <c r="E39" i="1"/>
  <c r="D39" i="1"/>
  <c r="F39" i="1"/>
  <c r="E4" i="1"/>
  <c r="D4" i="1"/>
  <c r="F4" i="1"/>
  <c r="F13" i="1"/>
  <c r="I16" i="1" s="1"/>
  <c r="E13" i="1"/>
  <c r="H16" i="1" s="1"/>
  <c r="D13" i="1"/>
  <c r="C13" i="1"/>
  <c r="C21" i="1" s="1"/>
  <c r="C48" i="1" l="1"/>
  <c r="D43" i="1" s="1"/>
  <c r="B60" i="1"/>
  <c r="M78" i="1"/>
  <c r="D14" i="1"/>
  <c r="E14" i="1"/>
  <c r="E16" i="1"/>
  <c r="F14" i="1"/>
  <c r="F16" i="1"/>
  <c r="B21" i="1"/>
  <c r="C14" i="1"/>
  <c r="C15" i="1" s="1"/>
  <c r="F15" i="1"/>
  <c r="D21" i="1"/>
  <c r="F21" i="1"/>
  <c r="E21" i="1"/>
  <c r="D48" i="1" l="1"/>
  <c r="E43" i="1" s="1"/>
  <c r="C60" i="1"/>
  <c r="E15" i="1"/>
  <c r="N78" i="1"/>
  <c r="P78" i="1"/>
  <c r="L78" i="1"/>
  <c r="O78" i="1"/>
  <c r="D15" i="1"/>
  <c r="E48" i="1" l="1"/>
  <c r="F43" i="1" s="1"/>
  <c r="D60" i="1"/>
  <c r="G13" i="1"/>
  <c r="H15" i="1" s="1"/>
  <c r="F48" i="1" l="1"/>
  <c r="G43" i="1" s="1"/>
  <c r="E60" i="1"/>
  <c r="G21" i="1"/>
  <c r="G23" i="1" s="1"/>
  <c r="G16" i="1"/>
  <c r="G15" i="1"/>
  <c r="C24" i="1"/>
  <c r="C23" i="1"/>
  <c r="B24" i="1"/>
  <c r="B29" i="1" s="1"/>
  <c r="B23" i="1"/>
  <c r="G14" i="1"/>
  <c r="L9" i="1"/>
  <c r="M9" i="1"/>
  <c r="N9" i="1"/>
  <c r="G48" i="1" l="1"/>
  <c r="H43" i="1" s="1"/>
  <c r="H48" i="1" s="1"/>
  <c r="I43" i="1" s="1"/>
  <c r="I48" i="1" s="1"/>
  <c r="F60" i="1"/>
  <c r="G24" i="1"/>
  <c r="H30" i="1" s="1"/>
  <c r="Q78" i="1"/>
  <c r="B27" i="1"/>
  <c r="B28" i="1" s="1"/>
  <c r="G27" i="1"/>
  <c r="C27" i="1"/>
  <c r="C28" i="1" s="1"/>
  <c r="C59" i="1"/>
  <c r="C61" i="1" s="1"/>
  <c r="M65" i="1" s="1"/>
  <c r="M77" i="1"/>
  <c r="B59" i="1"/>
  <c r="B61" i="1" s="1"/>
  <c r="L65" i="1" s="1"/>
  <c r="L77" i="1"/>
  <c r="D59" i="1"/>
  <c r="D61" i="1" s="1"/>
  <c r="N65" i="1" s="1"/>
  <c r="N77" i="1"/>
  <c r="B33" i="1"/>
  <c r="G28" i="1" l="1"/>
  <c r="G29" i="1" s="1"/>
  <c r="G60" i="1"/>
  <c r="C29" i="1"/>
  <c r="C30" i="1" s="1"/>
  <c r="C33" i="1"/>
  <c r="C34" i="1" s="1"/>
  <c r="G33" i="1" l="1"/>
  <c r="N51" i="1"/>
  <c r="M51" i="1"/>
  <c r="L51" i="1"/>
  <c r="L11" i="1" s="1"/>
  <c r="N35" i="1"/>
  <c r="M35" i="1"/>
  <c r="L35" i="1"/>
  <c r="N45" i="1"/>
  <c r="M45" i="1"/>
  <c r="L45" i="1"/>
  <c r="N25" i="1"/>
  <c r="M25" i="1"/>
  <c r="L25" i="1"/>
  <c r="M67" i="1"/>
  <c r="M56" i="1" l="1"/>
  <c r="M12" i="1" s="1"/>
  <c r="M68" i="1" s="1"/>
  <c r="N56" i="1"/>
  <c r="M55" i="1"/>
  <c r="N55" i="1"/>
  <c r="L46" i="1"/>
  <c r="N61" i="1"/>
  <c r="N64" i="1" s="1"/>
  <c r="N69" i="1"/>
  <c r="N70" i="1"/>
  <c r="L61" i="1"/>
  <c r="L64" i="1" s="1"/>
  <c r="L70" i="1"/>
  <c r="L69" i="1"/>
  <c r="L67" i="1"/>
  <c r="M61" i="1"/>
  <c r="M64" i="1" s="1"/>
  <c r="M69" i="1"/>
  <c r="M70" i="1"/>
  <c r="M46" i="1"/>
  <c r="N46" i="1"/>
  <c r="E24" i="1"/>
  <c r="E23" i="1"/>
  <c r="D24" i="1"/>
  <c r="D23" i="1"/>
  <c r="F24" i="1"/>
  <c r="F23" i="1"/>
  <c r="N11" i="1"/>
  <c r="M11" i="1"/>
  <c r="L56" i="1"/>
  <c r="L12" i="1" s="1"/>
  <c r="L68" i="1" s="1"/>
  <c r="L55" i="1"/>
  <c r="Q45" i="1"/>
  <c r="Q35" i="1"/>
  <c r="Q25" i="1"/>
  <c r="Q51" i="1" s="1"/>
  <c r="Q9" i="1"/>
  <c r="Q61" i="1"/>
  <c r="F28" i="1" l="1"/>
  <c r="Q55" i="1"/>
  <c r="Q11" i="1"/>
  <c r="Q67" i="1"/>
  <c r="Q56" i="1"/>
  <c r="Q12" i="1" s="1"/>
  <c r="Q68" i="1" s="1"/>
  <c r="F33" i="1"/>
  <c r="N76" i="1"/>
  <c r="G30" i="1"/>
  <c r="Q77" i="1"/>
  <c r="G59" i="1"/>
  <c r="G61" i="1" s="1"/>
  <c r="Q65" i="1" s="1"/>
  <c r="Q70" i="1"/>
  <c r="Q69" i="1"/>
  <c r="Q64" i="1"/>
  <c r="F29" i="1"/>
  <c r="E27" i="1"/>
  <c r="E28" i="1" s="1"/>
  <c r="Q46" i="1"/>
  <c r="R76" i="1" s="1"/>
  <c r="M76" i="1"/>
  <c r="F30" i="1"/>
  <c r="F31" i="1"/>
  <c r="N81" i="1"/>
  <c r="M82" i="1"/>
  <c r="M81" i="1"/>
  <c r="N12" i="1"/>
  <c r="L81" i="1"/>
  <c r="L82" i="1"/>
  <c r="P35" i="1"/>
  <c r="O35" i="1"/>
  <c r="O25" i="1"/>
  <c r="P25" i="1"/>
  <c r="G34" i="1" l="1"/>
  <c r="P56" i="1"/>
  <c r="O56" i="1"/>
  <c r="E29" i="1"/>
  <c r="E33" i="1"/>
  <c r="D27" i="1"/>
  <c r="D28" i="1" s="1"/>
  <c r="N82" i="1"/>
  <c r="N68" i="1"/>
  <c r="F35" i="1"/>
  <c r="Q82" i="1"/>
  <c r="Q81" i="1"/>
  <c r="P9" i="1"/>
  <c r="O9" i="1"/>
  <c r="F34" i="1" l="1"/>
  <c r="E35" i="1"/>
  <c r="D29" i="1"/>
  <c r="D30" i="1" s="1"/>
  <c r="N67" i="1"/>
  <c r="D33" i="1"/>
  <c r="E59" i="1"/>
  <c r="E61" i="1" s="1"/>
  <c r="O65" i="1" s="1"/>
  <c r="O77" i="1"/>
  <c r="F59" i="1"/>
  <c r="F61" i="1" s="1"/>
  <c r="P65" i="1" s="1"/>
  <c r="P77" i="1"/>
  <c r="O45" i="1"/>
  <c r="P45" i="1"/>
  <c r="O51" i="1"/>
  <c r="P51" i="1"/>
  <c r="P67" i="1"/>
  <c r="O67" i="1"/>
  <c r="O55" i="1" l="1"/>
  <c r="O81" i="1" s="1"/>
  <c r="E30" i="1"/>
  <c r="G35" i="1"/>
  <c r="D34" i="1"/>
  <c r="E34" i="1"/>
  <c r="O69" i="1"/>
  <c r="P55" i="1"/>
  <c r="P81" i="1" s="1"/>
  <c r="P69" i="1"/>
  <c r="O70" i="1"/>
  <c r="P70" i="1"/>
  <c r="O61" i="1"/>
  <c r="O64" i="1" s="1"/>
  <c r="P61" i="1"/>
  <c r="P64" i="1" s="1"/>
  <c r="P12" i="1"/>
  <c r="P68" i="1" s="1"/>
  <c r="P46" i="1"/>
  <c r="Q76" i="1" s="1"/>
  <c r="O12" i="1"/>
  <c r="O68" i="1" s="1"/>
  <c r="O46" i="1"/>
  <c r="O11" i="1"/>
  <c r="P11" i="1"/>
  <c r="P82" i="1" l="1"/>
  <c r="P76" i="1"/>
  <c r="O76" i="1"/>
  <c r="O82" i="1"/>
</calcChain>
</file>

<file path=xl/sharedStrings.xml><?xml version="1.0" encoding="utf-8"?>
<sst xmlns="http://schemas.openxmlformats.org/spreadsheetml/2006/main" count="294" uniqueCount="177">
  <si>
    <t>March Year Ended (INR Mn)</t>
  </si>
  <si>
    <t>FY19</t>
  </si>
  <si>
    <t>FY20</t>
  </si>
  <si>
    <t>Share Capital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</si>
  <si>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</si>
  <si>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</si>
  <si>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</si>
  <si>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</si>
  <si>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</si>
  <si>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</si>
  <si>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Capital work-in-progress</t>
  </si>
  <si>
    <t>Financial assets</t>
  </si>
  <si>
    <t>Other financial assets</t>
  </si>
  <si>
    <t>Other non-current assets</t>
  </si>
  <si>
    <t>CURRENT ASSETS, LOANS &amp; ADVANCES</t>
  </si>
  <si>
    <t>Inventories</t>
  </si>
  <si>
    <t>Trade Receivable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</si>
  <si>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</si>
  <si>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</si>
  <si>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</si>
  <si>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</si>
  <si>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</si>
  <si>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</si>
  <si>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</si>
  <si>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TOTAL ASSETS</t>
  </si>
  <si>
    <t>TOTAL LIABILITIES</t>
  </si>
  <si>
    <t>Total Loans</t>
  </si>
  <si>
    <t>Other Non Current liabilities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</si>
  <si>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</si>
  <si>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</si>
  <si>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</si>
  <si>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</si>
  <si>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</si>
  <si>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</si>
  <si>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</si>
  <si>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Check I</t>
  </si>
  <si>
    <t>Check II</t>
  </si>
  <si>
    <t>FY18</t>
  </si>
  <si>
    <t>FY16</t>
  </si>
  <si>
    <t>FY17</t>
  </si>
  <si>
    <t>Income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</si>
  <si>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</si>
  <si>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</si>
  <si>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</si>
  <si>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</si>
  <si>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</si>
  <si>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</si>
  <si>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</si>
  <si>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</si>
  <si>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</si>
  <si>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</si>
  <si>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</si>
  <si>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</si>
  <si>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</si>
  <si>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</si>
  <si>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</si>
  <si>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</si>
  <si>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</si>
  <si>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-</t>
  </si>
  <si>
    <t>Changes in Inventories of FG, SIT and WIP</t>
  </si>
  <si>
    <t>Finance Cost</t>
  </si>
  <si>
    <t>Total  Comprehensive Income</t>
  </si>
  <si>
    <t>Basic</t>
  </si>
  <si>
    <t>Diluted</t>
  </si>
  <si>
    <t>Excise Duty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</si>
  <si>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</si>
  <si>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</si>
  <si>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</si>
  <si>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</si>
  <si>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</si>
  <si>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</si>
  <si>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</si>
  <si>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</si>
  <si>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</si>
  <si>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</si>
  <si>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</si>
  <si>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</si>
  <si>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</si>
  <si>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</si>
  <si>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</si>
  <si>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</si>
  <si>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</si>
  <si>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</si>
  <si>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</si>
  <si>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</si>
  <si>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</si>
  <si>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</si>
  <si>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</si>
  <si>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</si>
  <si>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</si>
  <si>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</si>
  <si>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</si>
  <si>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</si>
  <si>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</si>
  <si>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</si>
  <si>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</si>
  <si>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</si>
  <si>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</si>
  <si>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</si>
  <si>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</si>
  <si>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</si>
  <si>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</si>
  <si>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PAT from Continuing Operations</t>
  </si>
  <si>
    <t>PBT from Discontinuing Operations</t>
  </si>
  <si>
    <t>PAT from Discontinuing Operations</t>
  </si>
  <si>
    <t>Net Profit for the Year</t>
  </si>
  <si>
    <t>Other Advances rcvd against assets held for sale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</si>
  <si>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</si>
  <si>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</si>
  <si>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</si>
  <si>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</si>
  <si>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</si>
  <si>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</si>
  <si>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</si>
  <si>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</si>
  <si>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</si>
  <si>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</si>
  <si>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</si>
  <si>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</si>
  <si>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</si>
  <si>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</si>
  <si>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</si>
  <si>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</si>
  <si>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</si>
  <si>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</si>
  <si>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</si>
  <si>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</si>
  <si>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</si>
  <si>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</si>
  <si>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</si>
  <si>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</si>
  <si>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</si>
  <si>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</si>
  <si>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</si>
  <si>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</si>
  <si>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</si>
  <si>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</si>
  <si>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</si>
  <si>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</si>
  <si>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</si>
  <si>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</si>
  <si>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</si>
  <si>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</si>
  <si>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</si>
  <si>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</si>
  <si>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</si>
  <si>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</si>
  <si>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</si>
  <si>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</si>
  <si>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</si>
  <si>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Purchase of Trade Goods</t>
  </si>
  <si>
    <t>Long Term Provision</t>
  </si>
  <si>
    <t>Other Equity</t>
  </si>
  <si>
    <t>Other Financial Assets</t>
  </si>
  <si>
    <t>Bharat Wire Ropes Ltd.</t>
  </si>
  <si>
    <t>Deferred Tax Asset (Net)</t>
  </si>
  <si>
    <t>Deferred Tax Liability (Net)</t>
  </si>
  <si>
    <t>Consolidated Figures in INR Mn.</t>
  </si>
  <si>
    <t>FY22</t>
  </si>
  <si>
    <t>Net Sales</t>
  </si>
  <si>
    <t>CFI</t>
  </si>
  <si>
    <t>No. of shares</t>
  </si>
  <si>
    <t>Valuation Comparison</t>
  </si>
  <si>
    <t>Stock P/E</t>
  </si>
  <si>
    <t>Price/Book Value</t>
  </si>
  <si>
    <t>Operational Ratios Comparison</t>
  </si>
  <si>
    <t>CMP</t>
  </si>
  <si>
    <t xml:space="preserve">Book Value </t>
  </si>
  <si>
    <t>Asset Turnover</t>
  </si>
  <si>
    <t>Screener.in</t>
  </si>
  <si>
    <t>BWR</t>
  </si>
  <si>
    <t>Usha Martin</t>
  </si>
  <si>
    <t>Bedmutha Industries</t>
  </si>
  <si>
    <t>D P Wires</t>
  </si>
  <si>
    <t>Shree Steel Wire Ropes</t>
  </si>
  <si>
    <t>Intangible Assets under development</t>
  </si>
  <si>
    <t>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</si>
</sst>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0.00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rgb="FF000000"/>
      <name val="MyFirstFont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/>
    <xf numFmtId="0" fontId="3" fillId="0" borderId="0" xfId="0" applyFont="1"/>
    <xf numFmtId="0" fontId="4" fillId="0" borderId="0" xfId="0" applyFont="1"/>
    <xf numFmtId="43" fontId="0" fillId="0" borderId="0" xfId="1" applyFont="1"/>
    <xf numFmtId="43" fontId="0" fillId="0" borderId="0" xfId="0" applyNumberFormat="1"/>
    <xf numFmtId="43" fontId="2" fillId="0" borderId="1" xfId="1" applyFont="1" applyBorder="1"/>
    <xf numFmtId="43" fontId="0" fillId="0" borderId="2" xfId="1" applyFont="1" applyBorder="1"/>
    <xf numFmtId="43" fontId="2" fillId="0" borderId="0" xfId="1" applyFont="1" applyBorder="1"/>
    <xf numFmtId="43" fontId="0" fillId="0" borderId="0" xfId="1" applyFont="1" applyBorder="1"/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43" fontId="1" fillId="0" borderId="0" xfId="1" applyFont="1" applyBorder="1"/>
    <xf numFmtId="0" fontId="0" fillId="0" borderId="0" xfId="0" applyAlignment="1">
      <alignment horizontal="left"/>
    </xf>
    <xf numFmtId="0" fontId="2" fillId="5" borderId="0" xfId="0" applyFont="1" applyFill="1"/>
    <xf numFmtId="43" fontId="2" fillId="5" borderId="0" xfId="1" applyFont="1" applyFill="1"/>
    <xf numFmtId="43" fontId="2" fillId="5" borderId="2" xfId="1" applyFont="1" applyFill="1" applyBorder="1"/>
    <xf numFmtId="0" fontId="8" fillId="2" borderId="0" xfId="0" applyFont="1" applyFill="1"/>
    <xf numFmtId="0" fontId="0" fillId="6" borderId="0" xfId="0" applyFill="1"/>
    <xf numFmtId="0" fontId="0" fillId="3" borderId="0" xfId="0" applyFill="1" applyAlignment="1">
      <alignment horizontal="center"/>
    </xf>
    <xf numFmtId="43" fontId="0" fillId="4" borderId="0" xfId="1" applyFont="1" applyFill="1"/>
    <xf numFmtId="43" fontId="9" fillId="4" borderId="0" xfId="1" applyFont="1" applyFill="1"/>
    <xf numFmtId="0" fontId="0" fillId="7" borderId="0" xfId="0" applyFill="1"/>
    <xf numFmtId="43" fontId="0" fillId="7" borderId="0" xfId="1" applyFont="1" applyFill="1"/>
    <xf numFmtId="0" fontId="6" fillId="7" borderId="0" xfId="0" applyFont="1" applyFill="1"/>
    <xf numFmtId="165" fontId="6" fillId="7" borderId="0" xfId="2" applyNumberFormat="1" applyFont="1" applyFill="1" applyBorder="1"/>
    <xf numFmtId="43" fontId="6" fillId="7" borderId="0" xfId="1" applyFont="1" applyFill="1"/>
    <xf numFmtId="0" fontId="9" fillId="7" borderId="0" xfId="0" applyFont="1" applyFill="1"/>
    <xf numFmtId="43" fontId="9" fillId="7" borderId="0" xfId="1" applyFont="1" applyFill="1"/>
    <xf numFmtId="43" fontId="7" fillId="7" borderId="0" xfId="1" applyFont="1" applyFill="1"/>
    <xf numFmtId="165" fontId="6" fillId="7" borderId="0" xfId="2" applyNumberFormat="1" applyFont="1" applyFill="1"/>
    <xf numFmtId="43" fontId="6" fillId="7" borderId="0" xfId="1" applyFont="1" applyFill="1" applyBorder="1"/>
    <xf numFmtId="43" fontId="2" fillId="7" borderId="0" xfId="1" applyFont="1" applyFill="1" applyBorder="1"/>
    <xf numFmtId="0" fontId="2" fillId="7" borderId="0" xfId="0" applyFont="1" applyFill="1"/>
    <xf numFmtId="43" fontId="2" fillId="5" borderId="1" xfId="1" applyFont="1" applyFill="1" applyBorder="1"/>
    <xf numFmtId="165" fontId="0" fillId="7" borderId="0" xfId="2" applyNumberFormat="1" applyFont="1" applyFill="1"/>
    <xf numFmtId="10" fontId="0" fillId="7" borderId="0" xfId="2" applyNumberFormat="1" applyFont="1" applyFill="1"/>
    <xf numFmtId="0" fontId="2" fillId="5" borderId="0" xfId="0" applyFont="1" applyFill="1" applyAlignment="1">
      <alignment horizontal="left"/>
    </xf>
    <xf numFmtId="10" fontId="6" fillId="7" borderId="0" xfId="2" applyNumberFormat="1" applyFont="1" applyFill="1"/>
    <xf numFmtId="0" fontId="10" fillId="0" borderId="0" xfId="0" applyFont="1"/>
    <xf numFmtId="43" fontId="0" fillId="0" borderId="0" xfId="1" applyFont="1" applyAlignment="1">
      <alignment horizontal="right"/>
    </xf>
    <xf numFmtId="43" fontId="0" fillId="7" borderId="0" xfId="1" applyFont="1" applyFill="1" applyAlignment="1">
      <alignment horizontal="right"/>
    </xf>
    <xf numFmtId="0" fontId="0" fillId="9" borderId="0" xfId="0" applyFill="1" applyAlignment="1">
      <alignment vertical="top"/>
    </xf>
    <xf numFmtId="0" fontId="5" fillId="9" borderId="0" xfId="0" applyFont="1" applyFill="1" applyAlignment="1">
      <alignment vertical="top"/>
    </xf>
    <xf numFmtId="165" fontId="0" fillId="9" borderId="3" xfId="2" applyNumberFormat="1" applyFont="1" applyFill="1" applyBorder="1" applyAlignment="1">
      <alignment vertical="top"/>
    </xf>
    <xf numFmtId="0" fontId="0" fillId="9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8" borderId="3" xfId="0" applyNumberFormat="1" applyFill="1" applyBorder="1" applyAlignment="1">
      <alignment vertical="top"/>
    </xf>
    <xf numFmtId="0" fontId="2" fillId="9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9" borderId="3" xfId="0" applyFont="1" applyFill="1" applyBorder="1" applyAlignment="1">
      <alignment vertical="top"/>
    </xf>
    <xf numFmtId="165" fontId="0" fillId="9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9" borderId="0" xfId="0" applyFont="1" applyFill="1" applyAlignment="1">
      <alignment vertical="top"/>
    </xf>
    <xf numFmtId="43" fontId="2" fillId="9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9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9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9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9" borderId="3" xfId="0" applyNumberFormat="1" applyFont="1" applyFill="1" applyBorder="1" applyAlignment="1">
      <alignment vertical="top"/>
    </xf>
    <xf numFmtId="164" fontId="2" fillId="9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9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1" fillId="9" borderId="3" xfId="0" applyFont="1" applyFill="1" applyBorder="1" applyAlignment="1">
      <alignment horizontal="center" vertical="top"/>
    </xf>
    <xf numFmtId="0" fontId="12" fillId="9" borderId="3" xfId="0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2" fillId="10" borderId="3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top"/>
    </xf>
    <xf numFmtId="0" fontId="2" fillId="11" borderId="3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2" fillId="7" borderId="0" xfId="1" applyFont="1" applyFill="1" applyBorder="1" applyAlignment="1">
      <alignment horizontal="center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6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6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43" fontId="0" fillId="0" borderId="0" xfId="1" applyFont="1" applyFill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2" fillId="4" borderId="7" xfId="6" applyFont="1" applyFill="1" applyBorder="1"/>
    <xf numFmtId="0" fontId="13" fillId="0" borderId="0" xfId="7"/>
    <xf numFmtId="0" fontId="2" fillId="13" borderId="10" xfId="6" applyFont="1" applyFill="1" applyBorder="1"/>
    <xf numFmtId="0" fontId="2" fillId="13" borderId="10" xfId="6" applyFont="1" applyFill="1" applyBorder="1" applyAlignment="1">
      <alignment horizontal="center"/>
    </xf>
    <xf numFmtId="0" fontId="2" fillId="0" borderId="11" xfId="6" applyFont="1" applyBorder="1"/>
    <xf numFmtId="0" fontId="1" fillId="0" borderId="11" xfId="6" applyBorder="1"/>
    <xf numFmtId="10" fontId="13" fillId="0" borderId="3" xfId="7" applyNumberFormat="1" applyBorder="1"/>
    <xf numFmtId="2" fontId="13" fillId="0" borderId="3" xfId="7" applyNumberFormat="1" applyBorder="1"/>
    <xf numFmtId="169" fontId="13" fillId="0" borderId="3" xfId="7" applyNumberFormat="1" applyBorder="1"/>
    <xf numFmtId="10" fontId="0" fillId="0" borderId="3" xfId="9" applyNumberFormat="1" applyFont="1" applyBorder="1"/>
    <xf numFmtId="0" fontId="13" fillId="0" borderId="3" xfId="7" applyBorder="1"/>
    <xf numFmtId="0" fontId="1" fillId="0" borderId="13" xfId="6" applyBorder="1"/>
    <xf numFmtId="0" fontId="13" fillId="0" borderId="14" xfId="7" applyBorder="1"/>
    <xf numFmtId="0" fontId="2" fillId="13" borderId="8" xfId="6" applyFont="1" applyFill="1" applyBorder="1"/>
    <xf numFmtId="0" fontId="13" fillId="13" borderId="5" xfId="7" applyFill="1" applyBorder="1"/>
    <xf numFmtId="0" fontId="2" fillId="0" borderId="15" xfId="6" applyFont="1" applyBorder="1"/>
    <xf numFmtId="2" fontId="13" fillId="0" borderId="12" xfId="7" applyNumberFormat="1" applyBorder="1"/>
    <xf numFmtId="43" fontId="0" fillId="0" borderId="3" xfId="8" applyFont="1" applyBorder="1"/>
    <xf numFmtId="0" fontId="1" fillId="0" borderId="11" xfId="6" applyBorder="1" applyAlignment="1">
      <alignment horizontal="left"/>
    </xf>
    <xf numFmtId="2" fontId="14" fillId="0" borderId="3" xfId="7" applyNumberFormat="1" applyFont="1" applyBorder="1" applyAlignment="1">
      <alignment horizontal="right" vertical="top" shrinkToFit="1"/>
    </xf>
    <xf numFmtId="2" fontId="13" fillId="0" borderId="14" xfId="7" applyNumberFormat="1" applyBorder="1"/>
    <xf numFmtId="0" fontId="1" fillId="0" borderId="15" xfId="6" applyBorder="1"/>
    <xf numFmtId="43" fontId="14" fillId="0" borderId="12" xfId="8" applyFont="1" applyFill="1" applyBorder="1" applyAlignment="1">
      <alignment horizontal="right" vertical="top"/>
    </xf>
    <xf numFmtId="43" fontId="14" fillId="0" borderId="3" xfId="8" applyFont="1" applyFill="1" applyBorder="1" applyAlignment="1">
      <alignment horizontal="right" vertical="top"/>
    </xf>
    <xf numFmtId="166" fontId="15" fillId="0" borderId="3" xfId="8" applyNumberFormat="1" applyFont="1" applyFill="1" applyBorder="1"/>
    <xf numFmtId="3" fontId="16" fillId="14" borderId="3" xfId="7" applyNumberFormat="1" applyFont="1" applyFill="1" applyBorder="1" applyAlignment="1">
      <alignment horizontal="right" vertical="center" wrapText="1"/>
    </xf>
    <xf numFmtId="0" fontId="13" fillId="0" borderId="12" xfId="7" applyBorder="1"/>
    <xf numFmtId="43" fontId="13" fillId="0" borderId="3" xfId="7" applyNumberFormat="1" applyBorder="1"/>
    <xf numFmtId="0" fontId="1" fillId="0" borderId="16" xfId="6" applyBorder="1"/>
    <xf numFmtId="0" fontId="13" fillId="13" borderId="0" xfId="7" applyFill="1"/>
    <xf numFmtId="0" fontId="13" fillId="13" borderId="17" xfId="7" applyFill="1" applyBorder="1"/>
    <xf numFmtId="43" fontId="14" fillId="0" borderId="3" xfId="8" applyFont="1" applyBorder="1" applyAlignment="1">
      <alignment horizontal="left" vertical="top"/>
    </xf>
    <xf numFmtId="0" fontId="2" fillId="13" borderId="18" xfId="6" applyFont="1" applyFill="1" applyBorder="1"/>
    <xf numFmtId="0" fontId="13" fillId="13" borderId="1" xfId="7" applyFill="1" applyBorder="1"/>
    <xf numFmtId="0" fontId="13" fillId="13" borderId="19" xfId="7" applyFill="1" applyBorder="1"/>
    <xf numFmtId="0" fontId="13" fillId="4" borderId="3" xfId="7" applyFill="1" applyBorder="1"/>
    <xf numFmtId="3" fontId="16" fillId="0" borderId="0" xfId="0" applyNumberFormat="1" applyFont="1"/>
    <xf numFmtId="3" fontId="16" fillId="14" borderId="0" xfId="0" applyNumberFormat="1" applyFont="1" applyFill="1" applyAlignment="1">
      <alignment horizontal="right" vertical="center" wrapText="1"/>
    </xf>
    <xf numFmtId="10" fontId="0" fillId="0" borderId="0" xfId="2" applyNumberFormat="1" applyFont="1"/>
    <xf numFmtId="43" fontId="0" fillId="9" borderId="0" xfId="1" applyFont="1" applyFill="1" applyAlignment="1">
      <alignment horizontal="center"/>
    </xf>
    <xf numFmtId="0" fontId="8" fillId="12" borderId="4" xfId="0" applyFont="1" applyFill="1" applyBorder="1" applyAlignment="1">
      <alignment horizontal="center" vertical="top"/>
    </xf>
    <xf numFmtId="0" fontId="8" fillId="12" borderId="5" xfId="0" applyFont="1" applyFill="1" applyBorder="1" applyAlignment="1">
      <alignment horizontal="center" vertical="top"/>
    </xf>
    <xf numFmtId="0" fontId="8" fillId="12" borderId="6" xfId="0" applyFont="1" applyFill="1" applyBorder="1" applyAlignment="1">
      <alignment horizontal="center" vertical="top"/>
    </xf>
    <xf numFmtId="0" fontId="12" fillId="10" borderId="3" xfId="0" applyFont="1" applyFill="1" applyBorder="1" applyAlignment="1">
      <alignment horizontal="center" vertical="center" wrapText="1"/>
    </xf>
    <xf numFmtId="0" fontId="2" fillId="4" borderId="8" xfId="6" applyFont="1" applyFill="1" applyBorder="1" applyAlignment="1">
      <alignment horizontal="center"/>
    </xf>
    <xf numFmtId="0" fontId="2" fillId="4" borderId="9" xfId="6" applyFont="1" applyFill="1" applyBorder="1" applyAlignment="1">
      <alignment horizontal="center"/>
    </xf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4" xfId="8" xr:uid="{ED1A4642-FD3A-437F-9CE9-722BF8423234}"/>
    <cellStyle name="Normal" xfId="0" builtinId="0"/>
    <cellStyle name="Normal 2" xfId="7" xr:uid="{D5EA91F7-DE71-4C70-950A-FFA4B469BF68}"/>
    <cellStyle name="Normal 5" xfId="6" xr:uid="{0C918171-8A24-4882-AD29-808D5A5F8FB6}"/>
    <cellStyle name="Percent" xfId="2" builtinId="5"/>
    <cellStyle name="Percent 2" xfId="9" xr:uid="{1EFCC845-755D-447E-A6AB-5CFE201A7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JIV/Desktop/Valorem%20Advisors/SVPL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zoomScaleNormal="100" zoomScaleSheetLayoutView="100" workbookViewId="0">
      <selection activeCell="B6" sqref="B6"/>
    </sheetView>
  </sheetViews>
  <sheetFormatPr defaultColWidth="9.140625" defaultRowHeight="15"/>
  <cols>
    <col min="1" max="1" width="25.42578125" style="45" customWidth="1"/>
    <col min="2" max="3" width="14.7109375" style="45" customWidth="1"/>
    <col min="4" max="5" width="14.7109375" style="46" customWidth="1"/>
    <col min="6" max="7" width="14.7109375" style="45" customWidth="1"/>
    <col min="8" max="16384" width="9.140625" style="45"/>
  </cols>
  <sheetData>
    <row r="1" spans="1:7" s="13" customFormat="1" ht="18.75">
      <c r="A1" s="141" t="s">
        <v>147</v>
      </c>
      <c r="B1" s="142"/>
      <c r="C1" s="142"/>
      <c r="D1" s="142"/>
      <c r="E1" s="142"/>
      <c r="F1" s="143"/>
      <c r="G1" s="82"/>
    </row>
    <row r="2" spans="1:7" s="80" customFormat="1">
      <c r="A2" s="144" t="s">
        <v>146</v>
      </c>
      <c r="B2" s="83" t="s">
        <v>109</v>
      </c>
      <c r="C2" s="83" t="s">
        <v>110</v>
      </c>
      <c r="D2" s="83" t="s">
        <v>111</v>
      </c>
      <c r="E2" s="83" t="s">
        <v>112</v>
      </c>
      <c r="F2" s="83" t="s">
        <v>113</v>
      </c>
      <c r="G2" s="83" t="s">
        <v>114</v>
      </c>
    </row>
    <row r="3" spans="1:7" s="80" customFormat="1" ht="15.75">
      <c r="A3" s="144"/>
      <c r="B3" s="81" t="s">
        <v>148</v>
      </c>
      <c r="C3" s="81" t="s">
        <v>148</v>
      </c>
      <c r="D3" s="81" t="s">
        <v>148</v>
      </c>
      <c r="E3" s="81" t="s">
        <v>148</v>
      </c>
      <c r="F3" s="81" t="s">
        <v>148</v>
      </c>
      <c r="G3" s="81" t="s">
        <v>148</v>
      </c>
    </row>
    <row r="4" spans="1:7" ht="15.75">
      <c r="A4" s="53" t="s">
        <v>145</v>
      </c>
      <c r="B4" s="79"/>
      <c r="C4" s="78"/>
      <c r="D4" s="77"/>
      <c r="E4" s="77"/>
      <c r="F4" s="77"/>
      <c r="G4" s="77"/>
    </row>
    <row r="5" spans="1:7">
      <c r="A5" s="53" t="s">
        <v>108</v>
      </c>
      <c r="B5" s="14"/>
      <c r="C5" s="48"/>
      <c r="D5" s="55"/>
      <c r="E5" s="55"/>
      <c r="F5" s="55"/>
      <c r="G5" s="55"/>
    </row>
    <row r="6" spans="1:7">
      <c r="A6" s="48" t="s">
        <v>144</v>
      </c>
      <c r="B6" s="76" t="e">
        <f>#REF!*10</f>
        <v>#REF!</v>
      </c>
      <c r="C6" s="75">
        <f>'[1]Peer Analysis working '!C5*10</f>
        <v>49222</v>
      </c>
      <c r="D6" s="75">
        <f>'[1]Peer Analysis working '!D5*10</f>
        <v>67286</v>
      </c>
      <c r="E6" s="75">
        <f>'[1]Peer Analysis working '!E5*10</f>
        <v>56892</v>
      </c>
      <c r="F6" s="75">
        <f>'[1]Peer Analysis working '!F5*10</f>
        <v>442740</v>
      </c>
      <c r="G6" s="75"/>
    </row>
    <row r="7" spans="1:7">
      <c r="A7" s="48" t="s">
        <v>141</v>
      </c>
      <c r="B7" s="71">
        <f>'[1]Peer Analysis working '!B7</f>
        <v>6.6957261377430521E-2</v>
      </c>
      <c r="C7" s="70">
        <f>'[1]Peer Analysis working '!C7</f>
        <v>1.7483450932637146E-2</v>
      </c>
      <c r="D7" s="70">
        <f>'[1]Peer Analysis working '!D7</f>
        <v>0.11395326030791875</v>
      </c>
      <c r="E7" s="70">
        <f>'[1]Peer Analysis working '!E7</f>
        <v>8.1957653928725893E-2</v>
      </c>
      <c r="F7" s="70">
        <f>'[1]Peer Analysis working '!F7</f>
        <v>7.2805272529955722E-2</v>
      </c>
      <c r="G7" s="70"/>
    </row>
    <row r="8" spans="1:7" s="58" customFormat="1">
      <c r="A8" s="53" t="s">
        <v>47</v>
      </c>
      <c r="B8" s="74">
        <f>'[1]Peer Analysis working '!B12*10</f>
        <v>2337.6000000000022</v>
      </c>
      <c r="C8" s="73">
        <f>'[1]Peer Analysis working '!C12*10</f>
        <v>8747</v>
      </c>
      <c r="D8" s="73">
        <f>'[1]Peer Analysis working '!D12*10</f>
        <v>9330</v>
      </c>
      <c r="E8" s="73">
        <f>'[1]Peer Analysis working '!E12*10</f>
        <v>9779</v>
      </c>
      <c r="F8" s="73">
        <f>'[1]Peer Analysis working '!F12*10</f>
        <v>54890</v>
      </c>
      <c r="G8" s="73"/>
    </row>
    <row r="9" spans="1:7">
      <c r="A9" s="48" t="s">
        <v>141</v>
      </c>
      <c r="B9" s="71">
        <f>'[1]Peer Analysis working '!B14</f>
        <v>0.27796799337795663</v>
      </c>
      <c r="C9" s="70">
        <f>'[1]Peer Analysis working '!C14</f>
        <v>0.20517447704828018</v>
      </c>
      <c r="D9" s="70">
        <f>'[1]Peer Analysis working '!D14</f>
        <v>0.33549630488669613</v>
      </c>
      <c r="E9" s="70">
        <f>'[1]Peer Analysis working '!E14</f>
        <v>-2.4487478418460316</v>
      </c>
      <c r="F9" s="70">
        <f>'[1]Peer Analysis working '!F14</f>
        <v>5.7989028682093879E-2</v>
      </c>
      <c r="G9" s="70"/>
    </row>
    <row r="10" spans="1:7" s="58" customFormat="1">
      <c r="A10" s="53" t="s">
        <v>143</v>
      </c>
      <c r="B10" s="69" t="e">
        <f>+B8/B$6</f>
        <v>#REF!</v>
      </c>
      <c r="C10" s="69">
        <f>+C8/C$6</f>
        <v>0.17770509121937345</v>
      </c>
      <c r="D10" s="69">
        <f>+D8/D$6</f>
        <v>0.13866183158457926</v>
      </c>
      <c r="E10" s="69">
        <f>+E8/E$6</f>
        <v>0.17188708430007735</v>
      </c>
      <c r="F10" s="69">
        <f>+F8/F$6</f>
        <v>0.12397795545918598</v>
      </c>
      <c r="G10" s="69"/>
    </row>
    <row r="11" spans="1:7" s="58" customFormat="1">
      <c r="A11" s="53" t="s">
        <v>142</v>
      </c>
      <c r="B11" s="67">
        <f>'[1]Peer Analysis working '!B25*10</f>
        <v>623.77000000000226</v>
      </c>
      <c r="C11" s="72">
        <f>'[1]Peer Analysis working '!C25*10</f>
        <v>7883</v>
      </c>
      <c r="D11" s="72">
        <f>'[1]Peer Analysis working '!D25*10</f>
        <v>2960</v>
      </c>
      <c r="E11" s="72">
        <f>'[1]Peer Analysis working '!E25*10</f>
        <v>997</v>
      </c>
      <c r="F11" s="72">
        <f>'[1]Peer Analysis working '!F25*10</f>
        <v>34510</v>
      </c>
      <c r="G11" s="72"/>
    </row>
    <row r="12" spans="1:7">
      <c r="A12" s="48" t="s">
        <v>141</v>
      </c>
      <c r="B12" s="71">
        <f>'[1]Peer Analysis working '!B27</f>
        <v>0.15020466640116381</v>
      </c>
      <c r="C12" s="70">
        <f>'[1]Peer Analysis working '!C27</f>
        <v>-2.3617924740187757E-2</v>
      </c>
      <c r="D12" s="70">
        <f>'[1]Peer Analysis working '!D27</f>
        <v>0.2798301533370493</v>
      </c>
      <c r="E12" s="70">
        <f>'[1]Peer Analysis working '!E27</f>
        <v>-1.7739968460390942E-2</v>
      </c>
      <c r="F12" s="70">
        <f>'[1]Peer Analysis working '!F27</f>
        <v>1.3492351397157654E-2</v>
      </c>
      <c r="G12" s="70"/>
    </row>
    <row r="13" spans="1:7">
      <c r="A13" s="53" t="s">
        <v>140</v>
      </c>
      <c r="B13" s="69" t="e">
        <f>+B11/B$6</f>
        <v>#REF!</v>
      </c>
      <c r="C13" s="68">
        <f>+C11/C$6</f>
        <v>0.1601519645686888</v>
      </c>
      <c r="D13" s="68">
        <f>+D11/D$6</f>
        <v>4.3991320631334901E-2</v>
      </c>
      <c r="E13" s="68">
        <f>+E11/E$6</f>
        <v>1.7524432257610911E-2</v>
      </c>
      <c r="F13" s="68">
        <f>+F11/F$6</f>
        <v>7.7946424538103631E-2</v>
      </c>
      <c r="G13" s="68"/>
    </row>
    <row r="14" spans="1:7">
      <c r="A14" s="48" t="s">
        <v>56</v>
      </c>
      <c r="B14" s="49">
        <f>'[1]Peer Analysis working '!B29</f>
        <v>3.76</v>
      </c>
      <c r="C14" s="49">
        <f>'[1]Peer Analysis working '!C29</f>
        <v>52.21</v>
      </c>
      <c r="D14" s="49">
        <f>'[1]Peer Analysis working '!D29</f>
        <v>7.83</v>
      </c>
      <c r="E14" s="49">
        <f>'[1]Peer Analysis working '!E29</f>
        <v>3.26</v>
      </c>
      <c r="F14" s="49">
        <f>'[1]Peer Analysis working '!F29</f>
        <v>31.37</v>
      </c>
      <c r="G14" s="49"/>
    </row>
    <row r="15" spans="1:7">
      <c r="A15" s="48"/>
      <c r="B15" s="14"/>
      <c r="C15" s="48"/>
      <c r="D15" s="55"/>
      <c r="E15" s="55"/>
      <c r="F15" s="48"/>
      <c r="G15" s="48"/>
    </row>
    <row r="16" spans="1:7">
      <c r="A16" s="48"/>
      <c r="B16" s="14"/>
      <c r="C16" s="48"/>
      <c r="D16" s="55"/>
      <c r="E16" s="55"/>
      <c r="F16" s="48"/>
      <c r="G16" s="48"/>
    </row>
    <row r="17" spans="1:7">
      <c r="A17" s="53" t="s">
        <v>139</v>
      </c>
      <c r="B17" s="54"/>
      <c r="C17" s="53"/>
      <c r="D17" s="53"/>
      <c r="E17" s="53"/>
      <c r="F17" s="53"/>
      <c r="G17" s="53"/>
    </row>
    <row r="18" spans="1:7" s="58" customFormat="1">
      <c r="A18" s="53" t="s">
        <v>138</v>
      </c>
      <c r="B18" s="67">
        <f>'[1]Peer Analysis working '!I5*10</f>
        <v>6806.94</v>
      </c>
      <c r="C18" s="67">
        <f>'[1]Peer Analysis working '!J5*10</f>
        <v>47546</v>
      </c>
      <c r="D18" s="67">
        <f>'[1]Peer Analysis working '!K5*10</f>
        <v>31513</v>
      </c>
      <c r="E18" s="67">
        <f>'[1]Peer Analysis working '!L5*10</f>
        <v>60583</v>
      </c>
      <c r="F18" s="67">
        <f>'[1]Peer Analysis working '!M5*10</f>
        <v>256090</v>
      </c>
      <c r="G18" s="67"/>
    </row>
    <row r="19" spans="1:7" s="58" customFormat="1">
      <c r="A19" s="53" t="s">
        <v>77</v>
      </c>
      <c r="B19" s="67">
        <f>SUM(B20:B21)</f>
        <v>1806.12</v>
      </c>
      <c r="C19" s="67">
        <f>SUM(C20:C21)</f>
        <v>0</v>
      </c>
      <c r="D19" s="67">
        <f>SUM(D20:D21)</f>
        <v>12219</v>
      </c>
      <c r="E19" s="67">
        <f>SUM(E20:E21)</f>
        <v>9292</v>
      </c>
      <c r="F19" s="67">
        <f>SUM(F20:F21)</f>
        <v>37380</v>
      </c>
      <c r="G19" s="67"/>
    </row>
    <row r="20" spans="1:7">
      <c r="A20" s="66" t="s">
        <v>137</v>
      </c>
      <c r="B20" s="49">
        <f>'[1]Peer Analysis working '!I6*10</f>
        <v>0</v>
      </c>
      <c r="C20" s="49">
        <f>'[1]Peer Analysis working '!J6*10</f>
        <v>0</v>
      </c>
      <c r="D20" s="49">
        <f>'[1]Peer Analysis working '!K6*10</f>
        <v>3893</v>
      </c>
      <c r="E20" s="49">
        <f>'[1]Peer Analysis working '!L6*10</f>
        <v>667</v>
      </c>
      <c r="F20" s="49">
        <f>'[1]Peer Analysis working '!M6*10</f>
        <v>8590</v>
      </c>
      <c r="G20" s="49"/>
    </row>
    <row r="21" spans="1:7">
      <c r="A21" s="66" t="s">
        <v>136</v>
      </c>
      <c r="B21" s="49">
        <f>'[1]Peer Analysis working '!I7*10</f>
        <v>1806.12</v>
      </c>
      <c r="C21" s="49">
        <f>'[1]Peer Analysis working '!J7*10</f>
        <v>0</v>
      </c>
      <c r="D21" s="49">
        <f>'[1]Peer Analysis working '!K7*10</f>
        <v>8326</v>
      </c>
      <c r="E21" s="49">
        <f>'[1]Peer Analysis working '!L7*10</f>
        <v>8625</v>
      </c>
      <c r="F21" s="49">
        <f>'[1]Peer Analysis working '!M7*10</f>
        <v>28790</v>
      </c>
      <c r="G21" s="49"/>
    </row>
    <row r="22" spans="1:7">
      <c r="A22" s="48"/>
      <c r="B22" s="14"/>
      <c r="C22" s="48"/>
      <c r="D22" s="55"/>
      <c r="E22" s="55"/>
      <c r="F22" s="48"/>
      <c r="G22" s="48"/>
    </row>
    <row r="23" spans="1:7">
      <c r="A23" s="53" t="s">
        <v>135</v>
      </c>
      <c r="B23" s="54"/>
      <c r="C23" s="53"/>
      <c r="D23" s="53"/>
      <c r="E23" s="53"/>
      <c r="F23" s="53"/>
      <c r="G23" s="53"/>
    </row>
    <row r="24" spans="1:7">
      <c r="A24" s="64" t="s">
        <v>134</v>
      </c>
      <c r="B24" s="65"/>
      <c r="C24" s="48"/>
      <c r="D24" s="48"/>
      <c r="E24" s="48"/>
      <c r="F24" s="48"/>
      <c r="G24" s="48"/>
    </row>
    <row r="25" spans="1:7">
      <c r="A25" s="64" t="s">
        <v>75</v>
      </c>
      <c r="B25" s="63"/>
      <c r="C25" s="48"/>
      <c r="D25" s="48"/>
      <c r="E25" s="48"/>
      <c r="F25" s="48"/>
      <c r="G25" s="48"/>
    </row>
    <row r="26" spans="1:7" s="13" customFormat="1">
      <c r="A26" s="14"/>
      <c r="B26" s="14"/>
      <c r="C26" s="14"/>
      <c r="D26" s="62"/>
      <c r="E26" s="62"/>
      <c r="F26" s="62"/>
      <c r="G26" s="62"/>
    </row>
    <row r="27" spans="1:7" s="13" customFormat="1">
      <c r="A27" s="14" t="s">
        <v>76</v>
      </c>
      <c r="B27" s="61">
        <f>'[1]Peer Analysis working '!I27</f>
        <v>16042570</v>
      </c>
      <c r="C27" s="61">
        <f>'[1]Peer Analysis working '!J27</f>
        <v>15050871</v>
      </c>
      <c r="D27" s="61">
        <f>'[1]Peer Analysis working '!K27</f>
        <v>37759530</v>
      </c>
      <c r="E27" s="61">
        <f>'[1]Peer Analysis working '!L27</f>
        <v>30603181</v>
      </c>
      <c r="F27" s="61">
        <f>'[1]Peer Analysis working '!M27</f>
        <v>109971221</v>
      </c>
      <c r="G27" s="61"/>
    </row>
    <row r="28" spans="1:7" s="58" customFormat="1">
      <c r="A28" s="53" t="s">
        <v>115</v>
      </c>
      <c r="B28" s="60">
        <f>'[1]Peer Analysis working '!I28*10</f>
        <v>705.87307999999996</v>
      </c>
      <c r="C28" s="59">
        <f>'[1]Peer Analysis working '!J28*10</f>
        <v>5698.2597605999999</v>
      </c>
      <c r="D28" s="59">
        <f>'[1]Peer Analysis working '!K28*10</f>
        <v>1049.7149340000001</v>
      </c>
      <c r="E28" s="59">
        <f>'[1]Peer Analysis working '!L28*10</f>
        <v>2209.5496682000003</v>
      </c>
      <c r="F28" s="59">
        <f>'[1]Peer Analysis working '!M28*10</f>
        <v>25254.89090265</v>
      </c>
      <c r="G28" s="59"/>
    </row>
    <row r="29" spans="1:7" s="58" customFormat="1">
      <c r="A29" s="53" t="s">
        <v>80</v>
      </c>
      <c r="B29" s="60">
        <f>'[1]Peer Analysis working '!I31*10</f>
        <v>297.57307999999966</v>
      </c>
      <c r="C29" s="59">
        <f>'[1]Peer Analysis working '!J31*10</f>
        <v>3873.2597605999999</v>
      </c>
      <c r="D29" s="59">
        <f>'[1]Peer Analysis working '!K31*10</f>
        <v>6252.7149340000014</v>
      </c>
      <c r="E29" s="59">
        <f>'[1]Peer Analysis working '!L31*10</f>
        <v>9985.5496681999994</v>
      </c>
      <c r="F29" s="59">
        <f>'[1]Peer Analysis working '!M31*10</f>
        <v>-32545.109097349996</v>
      </c>
      <c r="G29" s="59"/>
    </row>
    <row r="30" spans="1:7">
      <c r="A30" s="48"/>
      <c r="B30" s="14"/>
      <c r="C30" s="48"/>
      <c r="D30" s="55"/>
      <c r="E30" s="48"/>
      <c r="F30" s="48"/>
      <c r="G30" s="48"/>
    </row>
    <row r="31" spans="1:7">
      <c r="A31" s="48" t="s">
        <v>133</v>
      </c>
      <c r="B31" s="50">
        <f>'[1]Peer Analysis working '!I35</f>
        <v>11.702127659574469</v>
      </c>
      <c r="C31" s="50">
        <f>'[1]Peer Analysis working '!J35</f>
        <v>7.2514843899636086</v>
      </c>
      <c r="D31" s="50">
        <f>'[1]Peer Analysis working '!K35</f>
        <v>3.5504469987228608</v>
      </c>
      <c r="E31" s="50">
        <f>'[1]Peer Analysis working '!L35</f>
        <v>22.147239263803684</v>
      </c>
      <c r="F31" s="50">
        <f>'[1]Peer Analysis working '!M35</f>
        <v>7.3206885559451704</v>
      </c>
      <c r="G31" s="50"/>
    </row>
    <row r="32" spans="1:7">
      <c r="A32" s="48" t="s">
        <v>92</v>
      </c>
      <c r="B32" s="57">
        <f>'[1]Peer Analysis working '!I44</f>
        <v>3.4090909090909088E-2</v>
      </c>
      <c r="C32" s="56">
        <f>'[1]Peer Analysis working '!J44</f>
        <v>0.10565240359218171</v>
      </c>
      <c r="D32" s="56">
        <f>'[1]Peer Analysis working '!K44</f>
        <v>0</v>
      </c>
      <c r="E32" s="56">
        <f>'[1]Peer Analysis working '!L44</f>
        <v>0</v>
      </c>
      <c r="F32" s="56">
        <f>'[1]Peer Analysis working '!M44</f>
        <v>6.531678641410843E-2</v>
      </c>
      <c r="G32" s="56"/>
    </row>
    <row r="33" spans="1:7">
      <c r="A33" s="48" t="s">
        <v>132</v>
      </c>
      <c r="B33" s="50">
        <f>'[1]Peer Analysis working '!I36</f>
        <v>0.10369903069514348</v>
      </c>
      <c r="C33" s="50">
        <f>'[1]Peer Analysis working '!J36</f>
        <v>0.11984730073192279</v>
      </c>
      <c r="D33" s="50">
        <f>'[1]Peer Analysis working '!K36</f>
        <v>3.3310536413543618E-2</v>
      </c>
      <c r="E33" s="50">
        <f>'[1]Peer Analysis working '!L36</f>
        <v>3.6471446910849581E-2</v>
      </c>
      <c r="F33" s="50">
        <f>'[1]Peer Analysis working '!M36</f>
        <v>9.8617247462415569E-2</v>
      </c>
      <c r="G33" s="50"/>
    </row>
    <row r="34" spans="1:7">
      <c r="A34" s="48" t="s">
        <v>131</v>
      </c>
      <c r="B34" s="50">
        <f>'[1]Peer Analysis working '!I37</f>
        <v>0.12729854551676908</v>
      </c>
      <c r="C34" s="50">
        <f>'[1]Peer Analysis working '!J37</f>
        <v>0.44281007895278379</v>
      </c>
      <c r="D34" s="50">
        <f>'[1]Peer Analysis working '!K37</f>
        <v>0.67017309046087903</v>
      </c>
      <c r="E34" s="50">
        <f>'[1]Peer Analysis working '!L37</f>
        <v>1.021121757664383</v>
      </c>
      <c r="F34" s="50">
        <f>'[1]Peer Analysis working '!M37</f>
        <v>-0.59291508648843139</v>
      </c>
      <c r="G34" s="50"/>
    </row>
    <row r="35" spans="1:7">
      <c r="A35" s="48"/>
      <c r="B35" s="14"/>
      <c r="C35" s="48"/>
      <c r="D35" s="55"/>
      <c r="E35" s="55"/>
      <c r="F35" s="48"/>
      <c r="G35" s="48"/>
    </row>
    <row r="36" spans="1:7">
      <c r="A36" s="53" t="s">
        <v>130</v>
      </c>
      <c r="B36" s="54"/>
      <c r="C36" s="53"/>
      <c r="D36" s="53"/>
      <c r="E36" s="53"/>
      <c r="F36" s="53"/>
      <c r="G36" s="53"/>
    </row>
    <row r="37" spans="1:7">
      <c r="A37" s="53" t="s">
        <v>149</v>
      </c>
      <c r="B37" s="49" t="e">
        <f>#REF!</f>
        <v>#REF!</v>
      </c>
      <c r="C37" s="49">
        <f>'[1]Peer Analysis working '!J32</f>
        <v>378.6</v>
      </c>
      <c r="D37" s="49">
        <f>'[1]Peer Analysis working '!K32</f>
        <v>27.8</v>
      </c>
      <c r="E37" s="49">
        <f>'[1]Peer Analysis working '!L32</f>
        <v>72.2</v>
      </c>
      <c r="F37" s="49">
        <f>'[1]Peer Analysis working '!M32</f>
        <v>229.65</v>
      </c>
      <c r="G37" s="49"/>
    </row>
    <row r="38" spans="1:7">
      <c r="A38" s="48" t="s">
        <v>129</v>
      </c>
      <c r="B38" s="49">
        <f>B18</f>
        <v>6806.94</v>
      </c>
      <c r="C38" s="49">
        <f>C18</f>
        <v>47546</v>
      </c>
      <c r="D38" s="49">
        <f>D18</f>
        <v>31513</v>
      </c>
      <c r="E38" s="49">
        <f>E18</f>
        <v>60583</v>
      </c>
      <c r="F38" s="49">
        <f>F18</f>
        <v>256090</v>
      </c>
      <c r="G38" s="49"/>
    </row>
    <row r="39" spans="1:7">
      <c r="A39" s="48" t="s">
        <v>128</v>
      </c>
      <c r="B39" s="49">
        <f>'[1]Peer Analysis working '!I34</f>
        <v>424.30483395116869</v>
      </c>
      <c r="C39" s="49">
        <f>'[1]Peer Analysis working '!J34</f>
        <v>3159.0198334701026</v>
      </c>
      <c r="D39" s="49">
        <f>'[1]Peer Analysis working '!K34</f>
        <v>834.57076928658807</v>
      </c>
      <c r="E39" s="49">
        <f>'[1]Peer Analysis working '!L34</f>
        <v>1979.6308102742653</v>
      </c>
      <c r="F39" s="49">
        <f>'[1]Peer Analysis working '!M34</f>
        <v>2328.7001605629166</v>
      </c>
      <c r="G39" s="49"/>
    </row>
    <row r="40" spans="1:7">
      <c r="A40" s="48" t="s">
        <v>127</v>
      </c>
      <c r="B40" s="47">
        <f>'[1]Peer Analysis working '!I38</f>
        <v>9.1637358343103104E-2</v>
      </c>
      <c r="C40" s="47">
        <f>'[1]Peer Analysis working '!J38</f>
        <v>0.16579733310898917</v>
      </c>
      <c r="D40" s="47">
        <f>'[1]Peer Analysis working '!K38</f>
        <v>9.392948941706597E-2</v>
      </c>
      <c r="E40" s="47">
        <f>'[1]Peer Analysis working '!L38</f>
        <v>1.6456761797864088E-2</v>
      </c>
      <c r="F40" s="47">
        <f>'[1]Peer Analysis working '!M38</f>
        <v>0.13475731188254128</v>
      </c>
      <c r="G40" s="47"/>
    </row>
    <row r="41" spans="1:7">
      <c r="A41" s="48" t="s">
        <v>126</v>
      </c>
      <c r="B41" s="47">
        <f>'[1]Peer Analysis working '!I39</f>
        <v>0.15966919879744115</v>
      </c>
      <c r="C41" s="47">
        <f>'[1]Peer Analysis working '!J39</f>
        <v>0.23463756949794889</v>
      </c>
      <c r="D41" s="47">
        <f>'[1]Peer Analysis working '!K39</f>
        <v>0.16266310441067727</v>
      </c>
      <c r="E41" s="47">
        <f>'[1]Peer Analysis working '!L39</f>
        <v>7.0130917016226549E-2</v>
      </c>
      <c r="F41" s="47">
        <f>'[1]Peer Analysis working '!M39</f>
        <v>0.12677259525029899</v>
      </c>
      <c r="G41" s="47"/>
    </row>
    <row r="42" spans="1:7">
      <c r="A42" s="48" t="s">
        <v>125</v>
      </c>
      <c r="B42" s="50">
        <f>'[1]Peer Analysis working '!I40</f>
        <v>0.19664505085895492</v>
      </c>
      <c r="C42" s="50">
        <f>'[1]Peer Analysis working '!J40</f>
        <v>0.68930559505911992</v>
      </c>
      <c r="D42" s="50">
        <f>'[1]Peer Analysis working '!K40</f>
        <v>0.63170644710638169</v>
      </c>
      <c r="E42" s="50">
        <f>'[1]Peer Analysis working '!L40</f>
        <v>0.8970505519229417</v>
      </c>
      <c r="F42" s="50">
        <f>'[1]Peer Analysis working '!M40</f>
        <v>0.46451642047251207</v>
      </c>
      <c r="G42" s="50"/>
    </row>
    <row r="43" spans="1:7">
      <c r="A43" s="48" t="s">
        <v>124</v>
      </c>
      <c r="B43" s="51">
        <f>'[1]Peer Analysis working '!I45</f>
        <v>66.342013720741051</v>
      </c>
      <c r="C43" s="51">
        <f>'[1]Peer Analysis working '!J45</f>
        <v>65.062573645930684</v>
      </c>
      <c r="D43" s="51">
        <f>'[1]Peer Analysis working '!K45</f>
        <v>86.592976250631622</v>
      </c>
      <c r="E43" s="51">
        <f>'[1]Peer Analysis working '!L45</f>
        <v>107.90185790620825</v>
      </c>
      <c r="F43" s="51">
        <f>'[1]Peer Analysis working '!M45</f>
        <v>56.711275240547494</v>
      </c>
      <c r="G43" s="51"/>
    </row>
    <row r="44" spans="1:7">
      <c r="A44" s="48" t="s">
        <v>95</v>
      </c>
      <c r="B44" s="51">
        <f>'[1]Peer Analysis working '!I47</f>
        <v>0</v>
      </c>
      <c r="C44" s="51">
        <f>'[1]Peer Analysis working '!J47</f>
        <v>0</v>
      </c>
      <c r="D44" s="51">
        <f>'[1]Peer Analysis working '!K47</f>
        <v>10.79</v>
      </c>
      <c r="E44" s="51">
        <f>'[1]Peer Analysis working '!L47</f>
        <v>0</v>
      </c>
      <c r="F44" s="51">
        <f>'[1]Peer Analysis working '!M47</f>
        <v>16.899999999999999</v>
      </c>
      <c r="G44" s="51"/>
    </row>
    <row r="45" spans="1:7">
      <c r="A45" s="48" t="s">
        <v>123</v>
      </c>
      <c r="B45" s="52">
        <f>'[1]Peer Analysis working '!I46</f>
        <v>6242.8348665021331</v>
      </c>
      <c r="C45" s="51">
        <f>'[1]Peer Analysis working '!J46</f>
        <v>17.260000000000002</v>
      </c>
      <c r="D45" s="51">
        <f>'[1]Peer Analysis working '!K46</f>
        <v>29.69</v>
      </c>
      <c r="E45" s="51">
        <f>'[1]Peer Analysis working '!L46</f>
        <v>50.87</v>
      </c>
      <c r="F45" s="51">
        <f>'[1]Peer Analysis working '!M46</f>
        <v>51.52</v>
      </c>
      <c r="G45" s="51"/>
    </row>
    <row r="46" spans="1:7">
      <c r="A46" s="48" t="s">
        <v>122</v>
      </c>
      <c r="B46" s="52">
        <f>'[1]Peer Analysis working '!I48</f>
        <v>-6176.4928527813918</v>
      </c>
      <c r="C46" s="51">
        <f>'[1]Peer Analysis working '!J48</f>
        <v>47.802573645930678</v>
      </c>
      <c r="D46" s="51">
        <f>'[1]Peer Analysis working '!K48</f>
        <v>67.692976250631631</v>
      </c>
      <c r="E46" s="51">
        <f>'[1]Peer Analysis working '!L48</f>
        <v>57.031857906208252</v>
      </c>
      <c r="F46" s="51">
        <f>'[1]Peer Analysis working '!M48</f>
        <v>22.091275240547482</v>
      </c>
      <c r="G46" s="51"/>
    </row>
    <row r="47" spans="1:7">
      <c r="A47" s="48" t="s">
        <v>97</v>
      </c>
      <c r="B47" s="51">
        <f>'[1]Peer Analysis working '!I49</f>
        <v>38.568782865166789</v>
      </c>
      <c r="C47" s="51">
        <f>'[1]Peer Analysis working '!J49</f>
        <v>104.5124131485921</v>
      </c>
      <c r="D47" s="51">
        <f>'[1]Peer Analysis working '!K49</f>
        <v>-3.1679695627619462</v>
      </c>
      <c r="E47" s="51">
        <f>'[1]Peer Analysis working '!L49</f>
        <v>102.35551571398437</v>
      </c>
      <c r="F47" s="51">
        <f>'[1]Peer Analysis working '!M49</f>
        <v>168.22119076658987</v>
      </c>
      <c r="G47" s="51"/>
    </row>
    <row r="48" spans="1:7">
      <c r="A48" s="48" t="s">
        <v>121</v>
      </c>
      <c r="B48" s="50">
        <f>'[1]Peer Analysis working '!I41</f>
        <v>0.2653350844873027</v>
      </c>
      <c r="C48" s="50">
        <f>'[1]Peer Analysis working '!J41</f>
        <v>0</v>
      </c>
      <c r="D48" s="50">
        <f>'[1]Peer Analysis working '!K41</f>
        <v>0.38774474026592198</v>
      </c>
      <c r="E48" s="50">
        <f>'[1]Peer Analysis working '!L41</f>
        <v>0.15337635970486771</v>
      </c>
      <c r="F48" s="50">
        <f>'[1]Peer Analysis working '!M41</f>
        <v>0.14596430942246866</v>
      </c>
      <c r="G48" s="50"/>
    </row>
    <row r="49" spans="1:7">
      <c r="A49" s="48" t="s">
        <v>120</v>
      </c>
      <c r="B49" s="50">
        <f>'[1]Peer Analysis working '!I42</f>
        <v>-5.998289980519883E-2</v>
      </c>
      <c r="C49" s="50">
        <f>'[1]Peer Analysis working '!J42</f>
        <v>-3.8383880873259578E-2</v>
      </c>
      <c r="D49" s="50">
        <f>'[1]Peer Analysis working '!K42</f>
        <v>0.16510646399898457</v>
      </c>
      <c r="E49" s="50">
        <f>'[1]Peer Analysis working '!L42</f>
        <v>0.128352838254956</v>
      </c>
      <c r="F49" s="50">
        <f>'[1]Peer Analysis working '!M42</f>
        <v>-0.22570190167519233</v>
      </c>
      <c r="G49" s="50"/>
    </row>
    <row r="50" spans="1:7">
      <c r="A50" s="48" t="s">
        <v>116</v>
      </c>
      <c r="B50" s="49">
        <f>'[1]Peer Analysis working '!I51</f>
        <v>3.7837018647884131</v>
      </c>
      <c r="C50" s="49">
        <f>'[1]Peer Analysis working '!J51</f>
        <v>158.70422535211267</v>
      </c>
      <c r="D50" s="49">
        <f>'[1]Peer Analysis working '!K51</f>
        <v>2.2760347129506009</v>
      </c>
      <c r="E50" s="49">
        <f>'[1]Peer Analysis working '!L51</f>
        <v>3.4877505567928733</v>
      </c>
      <c r="F50" s="49">
        <f>'[1]Peer Analysis working '!M51</f>
        <v>10.687242798353909</v>
      </c>
      <c r="G50" s="49"/>
    </row>
    <row r="51" spans="1:7">
      <c r="A51" s="48" t="s">
        <v>119</v>
      </c>
      <c r="B51" s="47">
        <f>'[1]Peer Analysis working '!I50</f>
        <v>0.19180342391424715</v>
      </c>
      <c r="C51" s="47">
        <f>'[1]Peer Analysis working '!J50</f>
        <v>0</v>
      </c>
      <c r="D51" s="47">
        <f>'[1]Peer Analysis working '!K50</f>
        <v>0.24519191423193387</v>
      </c>
      <c r="E51" s="47">
        <f>'[1]Peer Analysis working '!L50</f>
        <v>0.14496340938441668</v>
      </c>
      <c r="F51" s="47">
        <f>'[1]Peer Analysis working '!M50</f>
        <v>0.13001605136436598</v>
      </c>
      <c r="G51" s="47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4"/>
  <sheetViews>
    <sheetView tabSelected="1" view="pageBreakPreview" topLeftCell="D23" zoomScale="98" zoomScaleNormal="75" zoomScaleSheetLayoutView="98" workbookViewId="0">
      <selection activeCell="S66" sqref="S66"/>
    </sheetView>
  </sheetViews>
  <sheetFormatPr defaultColWidth="8.85546875" defaultRowHeight="15"/>
  <cols>
    <col min="1" max="1" width="46.85546875" bestFit="1" customWidth="1"/>
    <col min="2" max="2" width="17.85546875" hidden="1" customWidth="1"/>
    <col min="3" max="7" width="16.140625" bestFit="1" customWidth="1"/>
    <col min="8" max="8" width="10.28515625" bestFit="1" customWidth="1"/>
    <col min="9" max="9" width="10.7109375" bestFit="1" customWidth="1"/>
    <col min="10" max="10" width="9.7109375" bestFit="1" customWidth="1"/>
    <col min="11" max="11" width="44.28515625" bestFit="1" customWidth="1"/>
    <col min="12" max="12" width="24.42578125" bestFit="1" customWidth="1"/>
    <col min="13" max="17" width="16.140625" bestFit="1" customWidth="1"/>
    <col min="18" max="18" width="10.28515625" bestFit="1" customWidth="1"/>
    <col min="19" max="19" width="14.7109375" customWidth="1"/>
    <col min="20" max="22" width="9.85546875" bestFit="1" customWidth="1"/>
  </cols>
  <sheetData>
    <row r="1" spans="1:19" ht="18.75">
      <c r="A1" s="20" t="s">
        <v>154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>
      <c r="A2" s="12" t="s">
        <v>0</v>
      </c>
      <c r="B2" s="22" t="s">
        <v>38</v>
      </c>
      <c r="C2" s="22" t="s">
        <v>39</v>
      </c>
      <c r="D2" s="22" t="s">
        <v>37</v>
      </c>
      <c r="E2" s="22" t="s">
        <v>1</v>
      </c>
      <c r="F2" s="22" t="s">
        <v>2</v>
      </c>
      <c r="G2" s="22" t="s">
        <v>57</v>
      </c>
      <c r="H2" s="22" t="s">
        <v>158</v>
      </c>
      <c r="I2" s="22" t="s">
        <v>176</v>
      </c>
      <c r="J2" s="22"/>
      <c r="K2" s="12" t="s">
        <v>0</v>
      </c>
      <c r="L2" s="22" t="s">
        <v>38</v>
      </c>
      <c r="M2" s="22" t="s">
        <v>39</v>
      </c>
      <c r="N2" s="22" t="s">
        <v>37</v>
      </c>
      <c r="O2" s="22" t="s">
        <v>1</v>
      </c>
      <c r="P2" s="22" t="s">
        <v>2</v>
      </c>
      <c r="Q2" s="22" t="s">
        <v>57</v>
      </c>
      <c r="R2" s="22" t="s">
        <v>158</v>
      </c>
      <c r="S2" s="22" t="s">
        <v>176</v>
      </c>
    </row>
    <row r="3" spans="1:19">
      <c r="A3" t="s">
        <v>40</v>
      </c>
      <c r="B3" s="97">
        <v>661.98050799999999</v>
      </c>
      <c r="C3" s="98">
        <v>710.73900000000003</v>
      </c>
      <c r="D3" s="98">
        <v>1679.1990000000001</v>
      </c>
      <c r="E3" s="98">
        <v>2406.3879999999999</v>
      </c>
      <c r="F3" s="98">
        <v>2577.1469999999999</v>
      </c>
      <c r="G3" s="98">
        <v>2501.7470000000003</v>
      </c>
      <c r="H3" s="98">
        <v>4106.79</v>
      </c>
      <c r="I3" s="98">
        <v>5890.6450000000004</v>
      </c>
      <c r="J3" s="98"/>
      <c r="K3" t="s">
        <v>3</v>
      </c>
      <c r="L3" s="98">
        <v>449.52200000000005</v>
      </c>
      <c r="M3" s="98">
        <v>449.52200000000005</v>
      </c>
      <c r="N3" s="98">
        <v>449.52200000000005</v>
      </c>
      <c r="O3" s="98">
        <v>449.52200000000005</v>
      </c>
      <c r="P3" s="98">
        <v>449.52200000000005</v>
      </c>
      <c r="Q3" s="98">
        <v>625.73199999999997</v>
      </c>
      <c r="R3" s="98">
        <v>638.29999999999995</v>
      </c>
      <c r="S3" s="98">
        <v>678.98</v>
      </c>
    </row>
    <row r="4" spans="1:19">
      <c r="A4" s="27" t="s">
        <v>41</v>
      </c>
      <c r="B4" s="28"/>
      <c r="C4" s="28">
        <f t="shared" ref="C4:E4" si="0">C3/B3-1</f>
        <v>7.3655479898208753E-2</v>
      </c>
      <c r="D4" s="28">
        <f t="shared" si="0"/>
        <v>1.362609903213416</v>
      </c>
      <c r="E4" s="28">
        <f t="shared" si="0"/>
        <v>0.43305707066285759</v>
      </c>
      <c r="F4" s="28">
        <f>F3/E3-1</f>
        <v>7.0960709578006487E-2</v>
      </c>
      <c r="G4" s="28">
        <f>G3/F3-1</f>
        <v>-2.9257159176406922E-2</v>
      </c>
      <c r="H4" s="28">
        <f>H3/G3-1</f>
        <v>0.64156887167247501</v>
      </c>
      <c r="I4" s="28">
        <f>I3/H3-1</f>
        <v>0.43436723085426832</v>
      </c>
      <c r="J4" s="96"/>
      <c r="K4" t="s">
        <v>152</v>
      </c>
      <c r="L4" s="98">
        <v>933.43399999999997</v>
      </c>
      <c r="M4" s="98">
        <v>957.75400000000013</v>
      </c>
      <c r="N4" s="98">
        <v>983.33600000000001</v>
      </c>
      <c r="O4" s="98">
        <v>547.55799999999999</v>
      </c>
      <c r="P4" s="98">
        <v>-58.971000000000004</v>
      </c>
      <c r="Q4" s="98">
        <v>3725.8669999999997</v>
      </c>
      <c r="R4" s="98">
        <v>3878.7589999999996</v>
      </c>
      <c r="S4" s="98">
        <v>4922.54</v>
      </c>
    </row>
    <row r="5" spans="1:19">
      <c r="A5" s="27" t="s">
        <v>42</v>
      </c>
      <c r="B5" s="34"/>
      <c r="C5" s="34"/>
      <c r="D5" s="34"/>
      <c r="E5" s="28">
        <f>((E3/B3)^(1/3)-1)</f>
        <v>0.53758860024742661</v>
      </c>
      <c r="F5" s="28">
        <f>((F3/C3)^(1/3)-1)</f>
        <v>0.53630112346241821</v>
      </c>
      <c r="G5" s="28">
        <f>((G3/D3)^(1/3)-1)</f>
        <v>0.1421252690902961</v>
      </c>
      <c r="H5" s="28">
        <f>((H3/E3)^(1/3)-1)</f>
        <v>0.195030384155362</v>
      </c>
      <c r="I5" s="28">
        <f>((I3/F3)^(1/3)-1)</f>
        <v>0.31726924774036247</v>
      </c>
      <c r="J5" s="87"/>
      <c r="K5" s="17" t="s">
        <v>4</v>
      </c>
      <c r="L5" s="19">
        <f t="shared" ref="L5:S5" si="1">SUM(L3:L4)</f>
        <v>1382.9560000000001</v>
      </c>
      <c r="M5" s="19">
        <f t="shared" si="1"/>
        <v>1407.2760000000003</v>
      </c>
      <c r="N5" s="19">
        <f t="shared" si="1"/>
        <v>1432.8580000000002</v>
      </c>
      <c r="O5" s="19">
        <f t="shared" si="1"/>
        <v>997.08</v>
      </c>
      <c r="P5" s="19">
        <f t="shared" si="1"/>
        <v>390.55100000000004</v>
      </c>
      <c r="Q5" s="19">
        <f t="shared" si="1"/>
        <v>4351.5990000000002</v>
      </c>
      <c r="R5" s="19">
        <f t="shared" si="1"/>
        <v>4517.0589999999993</v>
      </c>
      <c r="S5" s="19">
        <f t="shared" si="1"/>
        <v>5601.52</v>
      </c>
    </row>
    <row r="6" spans="1:19">
      <c r="A6" s="3" t="s">
        <v>43</v>
      </c>
      <c r="B6" s="5"/>
      <c r="C6" s="5">
        <f>SUM(C7:C12)</f>
        <v>649.77800000000002</v>
      </c>
      <c r="D6" s="5">
        <f t="shared" ref="D6:I6" si="2">SUM(D7:D12)</f>
        <v>1508.116</v>
      </c>
      <c r="E6" s="5">
        <f t="shared" si="2"/>
        <v>2219.6060000000002</v>
      </c>
      <c r="F6" s="5">
        <f t="shared" si="2"/>
        <v>2287.462</v>
      </c>
      <c r="G6" s="5">
        <f t="shared" si="2"/>
        <v>2177.2980000000002</v>
      </c>
      <c r="H6" s="5">
        <f t="shared" si="2"/>
        <v>3485</v>
      </c>
      <c r="I6" s="5">
        <f t="shared" si="2"/>
        <v>4502.4790000000003</v>
      </c>
      <c r="J6" s="86"/>
      <c r="L6" s="5"/>
      <c r="M6" s="5"/>
      <c r="N6" s="5"/>
      <c r="O6" s="5"/>
      <c r="P6" s="5"/>
      <c r="Q6" s="5"/>
      <c r="R6" s="5"/>
    </row>
    <row r="7" spans="1:19">
      <c r="A7" s="1" t="s">
        <v>44</v>
      </c>
      <c r="B7" s="97">
        <v>256.200064</v>
      </c>
      <c r="C7" s="98">
        <v>245.93400000000003</v>
      </c>
      <c r="D7" s="98">
        <v>953.32500000000005</v>
      </c>
      <c r="E7" s="98">
        <v>1653.4670000000001</v>
      </c>
      <c r="F7" s="98">
        <v>1607.9360000000001</v>
      </c>
      <c r="G7" s="98">
        <v>1469.3000000000002</v>
      </c>
      <c r="H7" s="98">
        <v>2641.1819999999998</v>
      </c>
      <c r="I7" s="98">
        <v>3392.6610000000001</v>
      </c>
      <c r="J7" s="86"/>
      <c r="K7" t="s">
        <v>5</v>
      </c>
      <c r="L7" s="98">
        <v>1734.15</v>
      </c>
      <c r="M7" s="98">
        <v>3489.5449999999996</v>
      </c>
      <c r="N7" s="98">
        <v>4337.0379999999996</v>
      </c>
      <c r="O7" s="98">
        <v>3578.154</v>
      </c>
      <c r="P7" s="98">
        <v>2785.0529999999999</v>
      </c>
      <c r="Q7" s="98">
        <v>2143.4499999999998</v>
      </c>
      <c r="R7" s="98">
        <v>2065.1099999999997</v>
      </c>
      <c r="S7" s="98">
        <v>1426.64</v>
      </c>
    </row>
    <row r="8" spans="1:19">
      <c r="A8" s="1" t="s">
        <v>150</v>
      </c>
      <c r="B8" s="97">
        <v>104.92399500000001</v>
      </c>
      <c r="C8" s="98">
        <v>222.18</v>
      </c>
      <c r="D8" s="98">
        <v>368.16199999999992</v>
      </c>
      <c r="E8" s="98">
        <v>3.5190000000000001</v>
      </c>
      <c r="F8" s="98">
        <v>0</v>
      </c>
      <c r="G8" s="98">
        <v>0</v>
      </c>
      <c r="H8" s="5">
        <v>0</v>
      </c>
      <c r="I8" s="5">
        <v>0</v>
      </c>
      <c r="J8" s="88"/>
      <c r="K8" t="s">
        <v>6</v>
      </c>
      <c r="L8" s="98">
        <v>218.21199999999999</v>
      </c>
      <c r="M8" s="98">
        <v>211.55100000000002</v>
      </c>
      <c r="N8" s="98">
        <v>514.19100000000003</v>
      </c>
      <c r="O8" s="98">
        <v>1102.415</v>
      </c>
      <c r="P8" s="98">
        <v>1273.758</v>
      </c>
      <c r="Q8" s="98">
        <v>550</v>
      </c>
      <c r="R8" s="98">
        <v>623.41999999999996</v>
      </c>
      <c r="S8" s="98">
        <v>390.3</v>
      </c>
    </row>
    <row r="9" spans="1:19">
      <c r="A9" s="1" t="s">
        <v>59</v>
      </c>
      <c r="B9" s="97">
        <v>25.409524999999999</v>
      </c>
      <c r="C9" s="98">
        <v>9.8109999999999999</v>
      </c>
      <c r="D9" s="98">
        <v>-216.565</v>
      </c>
      <c r="E9" s="98">
        <v>-136.28</v>
      </c>
      <c r="F9" s="98">
        <v>23.451000000000001</v>
      </c>
      <c r="G9" s="98">
        <v>123.452</v>
      </c>
      <c r="H9" s="98">
        <v>-41.611000000000004</v>
      </c>
      <c r="I9" s="98">
        <v>-105.035</v>
      </c>
      <c r="J9" s="89"/>
      <c r="K9" s="17" t="s">
        <v>26</v>
      </c>
      <c r="L9" s="19">
        <f t="shared" ref="L9:N9" si="3">SUM(L7:L8)</f>
        <v>1952.3620000000001</v>
      </c>
      <c r="M9" s="19">
        <f t="shared" si="3"/>
        <v>3701.0959999999995</v>
      </c>
      <c r="N9" s="19">
        <f t="shared" si="3"/>
        <v>4851.2289999999994</v>
      </c>
      <c r="O9" s="19">
        <f>SUM(O7:O8)</f>
        <v>4680.5689999999995</v>
      </c>
      <c r="P9" s="19">
        <f>SUM(P7:P8)</f>
        <v>4058.8109999999997</v>
      </c>
      <c r="Q9" s="19">
        <f>SUM(Q7:Q8)</f>
        <v>2693.45</v>
      </c>
      <c r="R9" s="19">
        <f>SUM(R7:R8)</f>
        <v>2688.5299999999997</v>
      </c>
      <c r="S9" s="19">
        <f>SUM(S7:S8)</f>
        <v>1816.94</v>
      </c>
    </row>
    <row r="10" spans="1:19">
      <c r="A10" s="1" t="s">
        <v>64</v>
      </c>
      <c r="B10" s="97">
        <v>54.952036</v>
      </c>
      <c r="C10" s="98">
        <v>62.452999999999996</v>
      </c>
      <c r="D10" s="98">
        <v>30.224000000000004</v>
      </c>
      <c r="E10" s="98">
        <v>0</v>
      </c>
      <c r="F10" s="98">
        <v>0</v>
      </c>
      <c r="G10" s="98">
        <v>0</v>
      </c>
      <c r="H10" s="84" t="s">
        <v>58</v>
      </c>
      <c r="I10" s="84">
        <v>0</v>
      </c>
      <c r="J10" s="88"/>
      <c r="K10" s="2"/>
      <c r="L10" s="9"/>
      <c r="M10" s="9"/>
      <c r="N10" s="9"/>
      <c r="O10" s="9"/>
      <c r="P10" s="9"/>
      <c r="Q10" s="10"/>
      <c r="R10" s="10"/>
    </row>
    <row r="11" spans="1:19">
      <c r="A11" s="1" t="s">
        <v>45</v>
      </c>
      <c r="B11" s="97">
        <v>83.271557000000001</v>
      </c>
      <c r="C11" s="98">
        <v>69.751000000000005</v>
      </c>
      <c r="D11" s="98">
        <v>149.65299999999999</v>
      </c>
      <c r="E11" s="98">
        <v>311.63200000000001</v>
      </c>
      <c r="F11" s="98">
        <v>308.06799999999998</v>
      </c>
      <c r="G11" s="98">
        <v>242.29400000000001</v>
      </c>
      <c r="H11" s="98">
        <v>344.346</v>
      </c>
      <c r="I11" s="98">
        <v>441.66899999999998</v>
      </c>
      <c r="J11" s="86"/>
      <c r="K11" s="17" t="s">
        <v>28</v>
      </c>
      <c r="L11" s="18">
        <f t="shared" ref="L11:Q11" si="4">L5+L7+L51</f>
        <v>3418.3530000000001</v>
      </c>
      <c r="M11" s="18">
        <f t="shared" si="4"/>
        <v>5201.6139999999996</v>
      </c>
      <c r="N11" s="18">
        <f t="shared" si="4"/>
        <v>5858.125</v>
      </c>
      <c r="O11" s="18">
        <f t="shared" si="4"/>
        <v>4625.1020000000008</v>
      </c>
      <c r="P11" s="18">
        <f t="shared" si="4"/>
        <v>3225.319</v>
      </c>
      <c r="Q11" s="18">
        <f t="shared" si="4"/>
        <v>6548.4939999999997</v>
      </c>
      <c r="R11" s="18">
        <f>R5+R7+R51</f>
        <v>6639.7239999999993</v>
      </c>
      <c r="S11" s="18">
        <f>S5+S7+S51</f>
        <v>7093.1200000000008</v>
      </c>
    </row>
    <row r="12" spans="1:19">
      <c r="A12" s="1" t="s">
        <v>46</v>
      </c>
      <c r="B12" s="97">
        <v>54.917216000000003</v>
      </c>
      <c r="C12" s="98">
        <v>39.649000000000001</v>
      </c>
      <c r="D12" s="98">
        <v>223.31700000000001</v>
      </c>
      <c r="E12" s="98">
        <v>387.26799999999997</v>
      </c>
      <c r="F12" s="98">
        <v>348.00700000000001</v>
      </c>
      <c r="G12" s="98">
        <v>342.25200000000001</v>
      </c>
      <c r="H12" s="98">
        <v>541.08299999999997</v>
      </c>
      <c r="I12" s="98">
        <v>773.18399999999997</v>
      </c>
      <c r="J12" s="90"/>
      <c r="K12" s="17" t="s">
        <v>29</v>
      </c>
      <c r="L12" s="18">
        <f>L56-L45-L8</f>
        <v>3418.3550000000005</v>
      </c>
      <c r="M12" s="18">
        <f>M56-M45-M8</f>
        <v>5201.616</v>
      </c>
      <c r="N12" s="18">
        <f>N56-N45-N8</f>
        <v>5858.1210000000001</v>
      </c>
      <c r="O12" s="18">
        <f>O56-O45-O8</f>
        <v>4625.1470000000008</v>
      </c>
      <c r="P12" s="18">
        <f>P56-P45-P8</f>
        <v>3225.3240000000005</v>
      </c>
      <c r="Q12" s="18">
        <f>Q56-Q45-Q8-Q53</f>
        <v>6548.4960000000001</v>
      </c>
      <c r="R12" s="18">
        <f>R56-R45-R8-R53</f>
        <v>6639.7240000000011</v>
      </c>
      <c r="S12" s="18">
        <f>S56-S45-S8-S53</f>
        <v>7093.13</v>
      </c>
    </row>
    <row r="13" spans="1:19">
      <c r="A13" s="17" t="s">
        <v>47</v>
      </c>
      <c r="B13" s="18">
        <f t="shared" ref="B13:G13" si="5">B3-SUM(B7:B12)</f>
        <v>82.306114999999977</v>
      </c>
      <c r="C13" s="18">
        <f t="shared" si="5"/>
        <v>60.961000000000013</v>
      </c>
      <c r="D13" s="18">
        <f t="shared" si="5"/>
        <v>171.08300000000008</v>
      </c>
      <c r="E13" s="18">
        <f t="shared" si="5"/>
        <v>186.7819999999997</v>
      </c>
      <c r="F13" s="18">
        <f t="shared" si="5"/>
        <v>289.68499999999995</v>
      </c>
      <c r="G13" s="18">
        <f t="shared" si="5"/>
        <v>324.44900000000007</v>
      </c>
      <c r="H13" s="18">
        <f>H3-SUM(H7:H12)</f>
        <v>621.79</v>
      </c>
      <c r="I13" s="18">
        <f>I3-SUM(I7:I12)</f>
        <v>1388.1660000000002</v>
      </c>
      <c r="J13" s="91"/>
      <c r="L13" s="5"/>
      <c r="M13" s="5"/>
      <c r="N13" s="5"/>
      <c r="O13" s="5"/>
      <c r="P13" s="5"/>
      <c r="Q13" s="5"/>
      <c r="R13" s="5"/>
    </row>
    <row r="14" spans="1:19">
      <c r="A14" s="27" t="s">
        <v>48</v>
      </c>
      <c r="B14" s="33">
        <f t="shared" ref="B14:G14" si="6">B13/B3</f>
        <v>0.12433313973045257</v>
      </c>
      <c r="C14" s="41">
        <f t="shared" si="6"/>
        <v>8.5771288757194988E-2</v>
      </c>
      <c r="D14" s="41">
        <f t="shared" si="6"/>
        <v>0.10188369573826574</v>
      </c>
      <c r="E14" s="41">
        <f t="shared" si="6"/>
        <v>7.7619236798055713E-2</v>
      </c>
      <c r="F14" s="41">
        <f t="shared" si="6"/>
        <v>0.11240530710898523</v>
      </c>
      <c r="G14" s="41">
        <f t="shared" si="6"/>
        <v>0.12968897334542623</v>
      </c>
      <c r="H14" s="41">
        <f t="shared" ref="H14:I14" si="7">H13/H3</f>
        <v>0.15140535552097867</v>
      </c>
      <c r="I14" s="41">
        <f t="shared" si="7"/>
        <v>0.23565602748086162</v>
      </c>
      <c r="J14" s="87"/>
      <c r="K14" s="17" t="s">
        <v>7</v>
      </c>
      <c r="L14" s="18"/>
      <c r="M14" s="18"/>
      <c r="N14" s="18"/>
      <c r="O14" s="18"/>
      <c r="P14" s="18"/>
      <c r="Q14" s="18"/>
      <c r="R14" s="18"/>
      <c r="S14" s="18"/>
    </row>
    <row r="15" spans="1:19">
      <c r="A15" s="27" t="s">
        <v>41</v>
      </c>
      <c r="B15" s="28"/>
      <c r="C15" s="28">
        <f t="shared" ref="C15" si="8">C14/B14-1</f>
        <v>-0.310149418384009</v>
      </c>
      <c r="D15" s="28">
        <f t="shared" ref="D15" si="9">D14/C14-1</f>
        <v>0.187853152430558</v>
      </c>
      <c r="E15" s="28">
        <f t="shared" ref="E15" si="10">E14/D14-1</f>
        <v>-0.23815840959032586</v>
      </c>
      <c r="F15" s="28">
        <f>F13/E13-1</f>
        <v>0.55092567806319881</v>
      </c>
      <c r="G15" s="28">
        <f>G13/F13-1</f>
        <v>0.12000621364585706</v>
      </c>
      <c r="H15" s="28">
        <f>H13/G13-1</f>
        <v>0.91644911835141984</v>
      </c>
      <c r="I15" s="28">
        <f>I13/H13-1</f>
        <v>1.2325318837549659</v>
      </c>
      <c r="J15" s="87"/>
      <c r="K15" s="4" t="s">
        <v>8</v>
      </c>
      <c r="L15" s="5"/>
      <c r="M15" s="5"/>
      <c r="N15" s="5"/>
      <c r="O15" s="5"/>
      <c r="P15" s="5"/>
      <c r="Q15" s="5"/>
      <c r="R15" s="5"/>
    </row>
    <row r="16" spans="1:19">
      <c r="A16" s="27" t="s">
        <v>42</v>
      </c>
      <c r="B16" s="32"/>
      <c r="C16" s="32"/>
      <c r="D16" s="32"/>
      <c r="E16" s="28">
        <f>((E13/B13)^(1/3)-1)</f>
        <v>0.31411782507573704</v>
      </c>
      <c r="F16" s="28">
        <f>((F13/C13)^(1/3)-1)</f>
        <v>0.6812203638510681</v>
      </c>
      <c r="G16" s="28">
        <f>((G13/D13)^(1/3)-1)</f>
        <v>0.23778873982309467</v>
      </c>
      <c r="H16" s="28">
        <f>((H13/E13)^(1/3)-1)</f>
        <v>0.49314816175917486</v>
      </c>
      <c r="I16" s="28">
        <f>((I13/F13)^(1/3)-1)</f>
        <v>0.68592583223479764</v>
      </c>
      <c r="J16" s="86"/>
      <c r="K16" t="s">
        <v>9</v>
      </c>
      <c r="L16" s="98">
        <v>648.36</v>
      </c>
      <c r="M16" s="98">
        <v>3398.8470000000002</v>
      </c>
      <c r="N16" s="98">
        <v>5654.0389999999998</v>
      </c>
      <c r="O16" s="98">
        <v>5602.7820000000002</v>
      </c>
      <c r="P16" s="98">
        <v>5385.7300000000005</v>
      </c>
      <c r="Q16" s="98">
        <v>5126.2970000000005</v>
      </c>
      <c r="R16" s="98">
        <v>4914.6859999999997</v>
      </c>
      <c r="S16" s="98">
        <v>4808.93</v>
      </c>
    </row>
    <row r="17" spans="1:21">
      <c r="A17" t="s">
        <v>49</v>
      </c>
      <c r="B17" s="5">
        <v>0</v>
      </c>
      <c r="C17" s="98">
        <v>32.516000000000005</v>
      </c>
      <c r="D17" s="98">
        <v>207.29000000000002</v>
      </c>
      <c r="E17" s="98">
        <v>9.1879999999999988</v>
      </c>
      <c r="F17" s="98">
        <v>3.0379999999999994</v>
      </c>
      <c r="G17" s="98">
        <v>5.109</v>
      </c>
      <c r="H17" s="98">
        <v>5.8040000000000003</v>
      </c>
      <c r="I17" s="98">
        <v>6.69</v>
      </c>
      <c r="J17" s="86"/>
      <c r="K17" t="s">
        <v>10</v>
      </c>
      <c r="L17" s="98">
        <v>1593.925</v>
      </c>
      <c r="M17" s="98">
        <f>(14197.63+10.7)/10</f>
        <v>1420.8330000000001</v>
      </c>
      <c r="N17" s="98">
        <f>(194.1+21.4)/10</f>
        <v>21.55</v>
      </c>
      <c r="O17" s="98">
        <v>6.0549999999999997</v>
      </c>
      <c r="P17" s="98">
        <v>5.3780000000000001</v>
      </c>
      <c r="Q17" s="98">
        <v>6.2080000000000002</v>
      </c>
      <c r="R17" s="98">
        <f>(29.25+12.38)/10</f>
        <v>4.1630000000000003</v>
      </c>
      <c r="S17" s="5">
        <v>30.62</v>
      </c>
    </row>
    <row r="18" spans="1:21">
      <c r="A18" s="1" t="s">
        <v>50</v>
      </c>
      <c r="B18" s="97">
        <v>22.917158000000001</v>
      </c>
      <c r="C18" s="98">
        <v>38.851999999999997</v>
      </c>
      <c r="D18" s="98">
        <v>123.47899999999998</v>
      </c>
      <c r="E18" s="98">
        <v>210.27699999999999</v>
      </c>
      <c r="F18" s="98">
        <v>218.04499999999996</v>
      </c>
      <c r="G18" s="98">
        <v>216.86999999999998</v>
      </c>
      <c r="H18" s="98">
        <v>214.41199999999998</v>
      </c>
      <c r="I18" s="98">
        <v>206.56800000000001</v>
      </c>
      <c r="J18" s="86"/>
      <c r="K18" t="s">
        <v>30</v>
      </c>
      <c r="L18" s="98">
        <v>2.1520000000000001</v>
      </c>
      <c r="M18" s="98">
        <v>2.02</v>
      </c>
      <c r="N18" s="98">
        <v>1.613</v>
      </c>
      <c r="O18" s="98">
        <v>1.0840000000000001</v>
      </c>
      <c r="P18" s="98">
        <v>0.55599999999999994</v>
      </c>
      <c r="Q18" s="98">
        <v>0.45599999999999996</v>
      </c>
      <c r="R18" s="98">
        <f>(3.5)/10</f>
        <v>0.35</v>
      </c>
      <c r="S18" s="98">
        <v>2.94</v>
      </c>
    </row>
    <row r="19" spans="1:21">
      <c r="A19" s="1" t="s">
        <v>60</v>
      </c>
      <c r="B19" s="97">
        <v>37.214013999999999</v>
      </c>
      <c r="C19" s="98">
        <v>25.419999999999998</v>
      </c>
      <c r="D19" s="98">
        <v>251.84300000000002</v>
      </c>
      <c r="E19" s="98">
        <v>726.29199999999992</v>
      </c>
      <c r="F19" s="98">
        <v>894.69500000000016</v>
      </c>
      <c r="G19" s="98">
        <v>340.71199999999999</v>
      </c>
      <c r="H19" s="98">
        <v>233.90300000000002</v>
      </c>
      <c r="I19" s="98">
        <v>221.99</v>
      </c>
      <c r="J19" s="86"/>
      <c r="K19" t="s">
        <v>175</v>
      </c>
      <c r="L19" s="98">
        <v>0</v>
      </c>
      <c r="M19" s="98">
        <v>0</v>
      </c>
      <c r="N19" s="98">
        <v>0</v>
      </c>
      <c r="O19" s="98">
        <v>0</v>
      </c>
      <c r="P19" s="98">
        <v>0</v>
      </c>
      <c r="Q19" s="98">
        <v>0</v>
      </c>
      <c r="R19" s="5"/>
      <c r="S19" s="98">
        <v>4.3</v>
      </c>
    </row>
    <row r="20" spans="1:21">
      <c r="A20" s="16" t="s">
        <v>100</v>
      </c>
      <c r="B20" s="5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5">
        <v>0</v>
      </c>
      <c r="I20" s="5">
        <v>0</v>
      </c>
      <c r="J20" s="92"/>
      <c r="K20" s="3" t="s">
        <v>11</v>
      </c>
      <c r="L20" s="98">
        <v>0</v>
      </c>
      <c r="M20" s="98">
        <v>0</v>
      </c>
      <c r="N20" s="98">
        <v>0</v>
      </c>
      <c r="O20" s="98">
        <v>0</v>
      </c>
      <c r="P20" s="98">
        <v>0</v>
      </c>
      <c r="Q20" s="98">
        <v>0</v>
      </c>
      <c r="R20" s="5">
        <v>0</v>
      </c>
    </row>
    <row r="21" spans="1:21">
      <c r="A21" s="36" t="s">
        <v>51</v>
      </c>
      <c r="B21" s="35">
        <f t="shared" ref="B21:E21" si="11">B13+B17-SUM(B18:B20)</f>
        <v>22.174942999999978</v>
      </c>
      <c r="C21" s="35">
        <f>C13+C17-SUM(C18:C20)</f>
        <v>29.205000000000027</v>
      </c>
      <c r="D21" s="35">
        <f t="shared" si="11"/>
        <v>3.0510000000001014</v>
      </c>
      <c r="E21" s="35">
        <f t="shared" si="11"/>
        <v>-740.59900000000027</v>
      </c>
      <c r="F21" s="35">
        <f>F13+F17-SUM(F18:F20)</f>
        <v>-820.01700000000028</v>
      </c>
      <c r="G21" s="35">
        <f t="shared" ref="G21" si="12">G13+G17-SUM(G18:G20)</f>
        <v>-228.02399999999994</v>
      </c>
      <c r="H21" s="35">
        <f t="shared" ref="H21:I21" si="13">H13+H17-SUM(H18:H20)</f>
        <v>179.27899999999994</v>
      </c>
      <c r="I21" s="35">
        <f t="shared" si="13"/>
        <v>966.29800000000023</v>
      </c>
      <c r="J21" s="93"/>
      <c r="K21" s="1" t="s">
        <v>31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  <c r="R21" s="5">
        <v>0</v>
      </c>
    </row>
    <row r="22" spans="1:21">
      <c r="A22" t="s">
        <v>52</v>
      </c>
      <c r="B22" s="97">
        <v>8.7472209999999997</v>
      </c>
      <c r="C22" s="98">
        <v>4.8049999999999997</v>
      </c>
      <c r="D22" s="98">
        <v>0.56100000000000005</v>
      </c>
      <c r="E22" s="98">
        <v>-295.04200000000003</v>
      </c>
      <c r="F22" s="98">
        <v>-210.44</v>
      </c>
      <c r="G22" s="98">
        <v>-60.152000000000001</v>
      </c>
      <c r="H22" s="98">
        <v>42.631999999999998</v>
      </c>
      <c r="I22" s="98">
        <v>343.73</v>
      </c>
      <c r="J22" s="94"/>
      <c r="K22" s="1" t="s">
        <v>12</v>
      </c>
      <c r="L22" s="98">
        <v>1.2849999999999999</v>
      </c>
      <c r="M22" s="98">
        <v>1.2849999999999999</v>
      </c>
      <c r="N22" s="98">
        <v>2.5309999999999997</v>
      </c>
      <c r="O22" s="98">
        <v>7.2810000000000006</v>
      </c>
      <c r="P22" s="98">
        <v>21.711000000000002</v>
      </c>
      <c r="Q22" s="98">
        <v>21.711000000000002</v>
      </c>
      <c r="R22" s="98">
        <v>97.835000000000008</v>
      </c>
      <c r="S22" s="98">
        <f>21.42+23.85</f>
        <v>45.27</v>
      </c>
    </row>
    <row r="23" spans="1:21">
      <c r="A23" s="27" t="s">
        <v>53</v>
      </c>
      <c r="B23" s="33">
        <f t="shared" ref="B23:F23" si="14">B22/B21</f>
        <v>0.39446419321122983</v>
      </c>
      <c r="C23" s="33">
        <f t="shared" si="14"/>
        <v>0.16452662215374064</v>
      </c>
      <c r="D23" s="33">
        <f t="shared" si="14"/>
        <v>0.18387413962634591</v>
      </c>
      <c r="E23" s="33">
        <f t="shared" si="14"/>
        <v>0.39838293057376517</v>
      </c>
      <c r="F23" s="33">
        <f t="shared" si="14"/>
        <v>0.25662882598775383</v>
      </c>
      <c r="G23" s="33">
        <f>G22/G21</f>
        <v>0.2637967933200015</v>
      </c>
      <c r="H23" s="33">
        <f>H22/H21</f>
        <v>0.23779695335203796</v>
      </c>
      <c r="I23" s="33">
        <f>I22/I21</f>
        <v>0.35571842226725081</v>
      </c>
      <c r="J23" s="92"/>
      <c r="K23" t="s">
        <v>155</v>
      </c>
      <c r="L23" s="98">
        <v>0</v>
      </c>
      <c r="M23" s="98">
        <v>0</v>
      </c>
      <c r="N23" s="98">
        <v>0</v>
      </c>
      <c r="O23" s="98">
        <v>253.72800000000001</v>
      </c>
      <c r="P23" s="98">
        <v>464.14799999999997</v>
      </c>
      <c r="Q23" s="98">
        <v>523.875</v>
      </c>
      <c r="R23" s="98">
        <v>480.233</v>
      </c>
      <c r="S23" s="98">
        <v>142.34</v>
      </c>
    </row>
    <row r="24" spans="1:21">
      <c r="A24" s="17" t="s">
        <v>102</v>
      </c>
      <c r="B24" s="37">
        <f t="shared" ref="B24:F24" si="15">B21-B22</f>
        <v>13.427721999999978</v>
      </c>
      <c r="C24" s="37">
        <f t="shared" si="15"/>
        <v>24.400000000000027</v>
      </c>
      <c r="D24" s="37">
        <f t="shared" si="15"/>
        <v>2.4900000000001015</v>
      </c>
      <c r="E24" s="37">
        <f t="shared" si="15"/>
        <v>-445.55700000000024</v>
      </c>
      <c r="F24" s="37">
        <f t="shared" si="15"/>
        <v>-609.57700000000023</v>
      </c>
      <c r="G24" s="37">
        <f>G21-G22</f>
        <v>-167.87199999999996</v>
      </c>
      <c r="H24" s="37">
        <f>H21-H22</f>
        <v>136.64699999999993</v>
      </c>
      <c r="I24" s="37">
        <f>I21-I22</f>
        <v>622.56800000000021</v>
      </c>
      <c r="J24" s="95"/>
      <c r="K24" t="s">
        <v>13</v>
      </c>
      <c r="L24" s="98">
        <v>610.13</v>
      </c>
      <c r="M24" s="98">
        <v>209.99499999999998</v>
      </c>
      <c r="N24" s="98">
        <v>84.16</v>
      </c>
      <c r="O24" s="98">
        <v>106.202</v>
      </c>
      <c r="P24" s="98">
        <v>105.822</v>
      </c>
      <c r="Q24" s="98">
        <v>105.79100000000001</v>
      </c>
      <c r="R24" s="98">
        <v>85.751999999999995</v>
      </c>
      <c r="S24" s="98">
        <v>35.950000000000003</v>
      </c>
    </row>
    <row r="25" spans="1:21">
      <c r="A25" s="36" t="s">
        <v>103</v>
      </c>
      <c r="B25" s="35"/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85">
        <v>0</v>
      </c>
      <c r="I25" s="85">
        <v>0</v>
      </c>
      <c r="J25" s="89"/>
      <c r="K25" s="40" t="s">
        <v>8</v>
      </c>
      <c r="L25" s="37">
        <f t="shared" ref="L25:Q25" si="16">SUM(L16:L24)</f>
        <v>2855.8519999999999</v>
      </c>
      <c r="M25" s="37">
        <f t="shared" si="16"/>
        <v>5032.9800000000005</v>
      </c>
      <c r="N25" s="37">
        <f t="shared" si="16"/>
        <v>5763.893</v>
      </c>
      <c r="O25" s="37">
        <f t="shared" si="16"/>
        <v>5977.1320000000005</v>
      </c>
      <c r="P25" s="37">
        <f t="shared" si="16"/>
        <v>5983.3450000000003</v>
      </c>
      <c r="Q25" s="37">
        <f t="shared" si="16"/>
        <v>5784.3380000000006</v>
      </c>
      <c r="R25" s="37">
        <f>SUM(R16:R24)</f>
        <v>5583.0190000000002</v>
      </c>
      <c r="S25" s="37">
        <f>SUM(S16:S24)</f>
        <v>5070.3500000000004</v>
      </c>
    </row>
    <row r="26" spans="1:21">
      <c r="A26" t="s">
        <v>52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84">
        <v>0</v>
      </c>
      <c r="I26" s="84">
        <v>0</v>
      </c>
      <c r="J26" s="92"/>
      <c r="L26" s="9"/>
      <c r="M26" s="9"/>
      <c r="N26" s="9"/>
      <c r="O26" s="9"/>
      <c r="P26" s="9"/>
      <c r="Q26" s="10"/>
      <c r="R26" s="10"/>
    </row>
    <row r="27" spans="1:21">
      <c r="A27" s="17" t="s">
        <v>104</v>
      </c>
      <c r="B27" s="37">
        <f t="shared" ref="B27:G27" si="17">B25-B26</f>
        <v>0</v>
      </c>
      <c r="C27" s="37">
        <f t="shared" si="17"/>
        <v>0</v>
      </c>
      <c r="D27" s="37">
        <f t="shared" si="17"/>
        <v>0</v>
      </c>
      <c r="E27" s="37">
        <f t="shared" si="17"/>
        <v>0</v>
      </c>
      <c r="F27" s="37">
        <f t="shared" si="17"/>
        <v>0</v>
      </c>
      <c r="G27" s="37">
        <f t="shared" si="17"/>
        <v>0</v>
      </c>
      <c r="H27" s="37">
        <f>H25+H26</f>
        <v>0</v>
      </c>
      <c r="I27" s="37">
        <f>I25+I26</f>
        <v>0</v>
      </c>
      <c r="J27" s="92"/>
      <c r="K27" s="4" t="s">
        <v>14</v>
      </c>
      <c r="L27" s="5"/>
      <c r="M27" s="5"/>
      <c r="N27" s="5"/>
      <c r="O27" s="5"/>
      <c r="P27" s="5"/>
      <c r="Q27" s="5"/>
      <c r="R27" s="5"/>
    </row>
    <row r="28" spans="1:21">
      <c r="A28" s="17" t="s">
        <v>105</v>
      </c>
      <c r="B28" s="37">
        <f>B26-B27</f>
        <v>0</v>
      </c>
      <c r="C28" s="37">
        <f t="shared" ref="C28:E28" si="18">C24+C27</f>
        <v>24.400000000000027</v>
      </c>
      <c r="D28" s="37">
        <f t="shared" si="18"/>
        <v>2.4900000000001015</v>
      </c>
      <c r="E28" s="37">
        <f t="shared" si="18"/>
        <v>-445.55700000000024</v>
      </c>
      <c r="F28" s="37">
        <f>F24+F27</f>
        <v>-609.57700000000023</v>
      </c>
      <c r="G28" s="37">
        <f>G24+G27</f>
        <v>-167.87199999999996</v>
      </c>
      <c r="H28" s="37">
        <f>H24+H27</f>
        <v>136.64699999999993</v>
      </c>
      <c r="I28" s="37">
        <f>I24+I27</f>
        <v>622.56800000000021</v>
      </c>
      <c r="J28" s="91"/>
      <c r="K28" t="s">
        <v>15</v>
      </c>
      <c r="L28" s="98">
        <v>344.21999999999997</v>
      </c>
      <c r="M28" s="98">
        <v>437.113</v>
      </c>
      <c r="N28" s="98">
        <v>734.54</v>
      </c>
      <c r="O28" s="98">
        <v>888.61599999999999</v>
      </c>
      <c r="P28" s="98">
        <v>776.50400000000002</v>
      </c>
      <c r="Q28" s="98">
        <v>647.21199999999999</v>
      </c>
      <c r="R28" s="98">
        <v>804.50699999999995</v>
      </c>
      <c r="S28" s="98">
        <v>1100.68</v>
      </c>
    </row>
    <row r="29" spans="1:21">
      <c r="A29" s="27" t="s">
        <v>54</v>
      </c>
      <c r="B29" s="33">
        <f>B24/B3</f>
        <v>2.0284165224997801E-2</v>
      </c>
      <c r="C29" s="41">
        <f t="shared" ref="C29:G29" si="19">C28/C3</f>
        <v>3.4330464488370592E-2</v>
      </c>
      <c r="D29" s="41">
        <f t="shared" si="19"/>
        <v>1.4828498587720106E-3</v>
      </c>
      <c r="E29" s="41">
        <f t="shared" si="19"/>
        <v>-0.18515592664192151</v>
      </c>
      <c r="F29" s="41">
        <f t="shared" si="19"/>
        <v>-0.2365317151097707</v>
      </c>
      <c r="G29" s="41">
        <f t="shared" si="19"/>
        <v>-6.7101909185860897E-2</v>
      </c>
      <c r="H29" s="41">
        <f t="shared" ref="H29:I29" si="20">H28/H3</f>
        <v>3.3273432534899505E-2</v>
      </c>
      <c r="I29" s="41">
        <f t="shared" si="20"/>
        <v>0.10568757750636817</v>
      </c>
      <c r="J29" s="87"/>
      <c r="K29" s="3" t="s">
        <v>11</v>
      </c>
      <c r="L29" s="98"/>
      <c r="M29" s="98"/>
      <c r="N29" s="98"/>
      <c r="O29" s="98"/>
      <c r="P29" s="98"/>
      <c r="Q29" s="98"/>
      <c r="R29" s="5"/>
    </row>
    <row r="30" spans="1:21">
      <c r="A30" s="27" t="s">
        <v>41</v>
      </c>
      <c r="B30" s="28"/>
      <c r="C30" s="28">
        <f t="shared" ref="C30" si="21">C29/B29-1</f>
        <v>0.69247608208507438</v>
      </c>
      <c r="D30" s="28">
        <f t="shared" ref="D30" si="22">D29/C29-1</f>
        <v>-0.95680658910763283</v>
      </c>
      <c r="E30" s="28">
        <f>E29/D29-1</f>
        <v>-125.86491841814269</v>
      </c>
      <c r="F30" s="28">
        <f>F24/E24-1</f>
        <v>0.36812349486148777</v>
      </c>
      <c r="G30" s="28">
        <f>G24/F24-1</f>
        <v>-0.72460903216492767</v>
      </c>
      <c r="H30" s="28">
        <f>H24/G24-1</f>
        <v>-1.8139951868089972</v>
      </c>
      <c r="I30" s="28">
        <f>I24/H24-1</f>
        <v>3.5560312337629112</v>
      </c>
      <c r="J30" s="87"/>
      <c r="K30" s="1" t="s">
        <v>16</v>
      </c>
      <c r="L30" s="98">
        <v>168.83099999999999</v>
      </c>
      <c r="M30" s="98">
        <v>169.30599999999998</v>
      </c>
      <c r="N30" s="98">
        <v>232.279</v>
      </c>
      <c r="O30" s="98">
        <v>361.69200000000001</v>
      </c>
      <c r="P30" s="98">
        <v>293.86399999999998</v>
      </c>
      <c r="Q30" s="98">
        <v>362.76900000000001</v>
      </c>
      <c r="R30" s="98">
        <v>398.976</v>
      </c>
      <c r="S30" s="98">
        <v>476.69</v>
      </c>
      <c r="T30" s="98">
        <v>477</v>
      </c>
    </row>
    <row r="31" spans="1:21">
      <c r="A31" s="27" t="s">
        <v>42</v>
      </c>
      <c r="B31" s="29"/>
      <c r="C31" s="29"/>
      <c r="D31" s="29"/>
      <c r="E31" s="28">
        <f>((E24/B24)^(1/3)-1)</f>
        <v>-4.2134161838781266</v>
      </c>
      <c r="F31" s="28">
        <f>((F24/C24)^(1/3)-1)</f>
        <v>-3.9233417024147839</v>
      </c>
      <c r="G31" s="28">
        <f>((G24/D24)^(1/3)-1)</f>
        <v>-5.0699865356540244</v>
      </c>
      <c r="H31" s="28">
        <f>((H28/E28)^(1/3)-1)*-1</f>
        <v>1.6743710891513559</v>
      </c>
      <c r="I31" s="28">
        <f>((I28/F28)^(1/3)-1)*-1</f>
        <v>2.0070539578850095</v>
      </c>
      <c r="J31" s="86"/>
      <c r="K31" s="1" t="s">
        <v>17</v>
      </c>
      <c r="L31" s="98">
        <v>703.93299999999999</v>
      </c>
      <c r="M31" s="98">
        <v>17.863999999999997</v>
      </c>
      <c r="N31" s="98">
        <v>192.995</v>
      </c>
      <c r="O31" s="98">
        <v>3.403</v>
      </c>
      <c r="P31" s="98">
        <v>7.7439999999999998</v>
      </c>
      <c r="Q31" s="98">
        <v>4.9279999999999999</v>
      </c>
      <c r="R31" s="98">
        <v>28.726999999999997</v>
      </c>
      <c r="S31" s="98">
        <v>0.38</v>
      </c>
    </row>
    <row r="32" spans="1:21">
      <c r="A32" t="s">
        <v>55</v>
      </c>
      <c r="B32" s="5"/>
      <c r="C32" s="98">
        <v>-8.199999999999999E-3</v>
      </c>
      <c r="D32" s="98">
        <v>-0.1143</v>
      </c>
      <c r="E32" s="98">
        <v>4.0099999999999997E-2</v>
      </c>
      <c r="F32" s="98">
        <v>9.6000000000000009E-3</v>
      </c>
      <c r="G32" s="98">
        <v>-0.2056</v>
      </c>
      <c r="H32" s="98">
        <v>-1.8519999999999999</v>
      </c>
      <c r="I32" s="98">
        <v>18.920000000000002</v>
      </c>
      <c r="J32" s="92"/>
      <c r="K32" s="1" t="s">
        <v>18</v>
      </c>
      <c r="L32" s="98">
        <v>14.759</v>
      </c>
      <c r="M32" s="98">
        <v>6.3659999999999997</v>
      </c>
      <c r="N32" s="98">
        <v>63.984000000000002</v>
      </c>
      <c r="O32" s="98">
        <v>40.960999999999999</v>
      </c>
      <c r="P32" s="98">
        <v>26.704000000000001</v>
      </c>
      <c r="Q32" s="98">
        <v>48.577999999999996</v>
      </c>
      <c r="R32" s="98">
        <v>3.3250000000000002</v>
      </c>
      <c r="S32" s="6">
        <v>86.91</v>
      </c>
      <c r="T32" s="6"/>
      <c r="U32" s="6"/>
    </row>
    <row r="33" spans="1:22">
      <c r="A33" s="2" t="s">
        <v>61</v>
      </c>
      <c r="B33" s="7">
        <f>B24+B32</f>
        <v>13.427721999999978</v>
      </c>
      <c r="C33" s="7">
        <f t="shared" ref="C33:F33" si="23">C28+C32</f>
        <v>24.391800000000028</v>
      </c>
      <c r="D33" s="7">
        <f t="shared" si="23"/>
        <v>2.3757000000001014</v>
      </c>
      <c r="E33" s="7">
        <f t="shared" si="23"/>
        <v>-445.51690000000025</v>
      </c>
      <c r="F33" s="7">
        <f t="shared" si="23"/>
        <v>-609.56740000000025</v>
      </c>
      <c r="G33" s="7">
        <f>G28+G32</f>
        <v>-168.07759999999996</v>
      </c>
      <c r="H33" s="7">
        <f>H28+H32</f>
        <v>134.79499999999993</v>
      </c>
      <c r="I33" s="7">
        <f>I28+I32</f>
        <v>641.48800000000017</v>
      </c>
      <c r="J33" s="87"/>
      <c r="K33" s="1" t="s">
        <v>153</v>
      </c>
      <c r="L33" s="98">
        <v>5.6420000000000003</v>
      </c>
      <c r="M33" s="98">
        <v>43.637999999999998</v>
      </c>
      <c r="N33" s="98">
        <v>18.663999999999998</v>
      </c>
      <c r="O33" s="98">
        <v>12.95</v>
      </c>
      <c r="P33" s="98">
        <v>7.9249999999999998</v>
      </c>
      <c r="Q33" s="98">
        <v>11.111000000000001</v>
      </c>
      <c r="R33" s="98">
        <v>9.641</v>
      </c>
      <c r="S33" s="98">
        <v>7.25</v>
      </c>
    </row>
    <row r="34" spans="1:22">
      <c r="A34" s="27" t="s">
        <v>41</v>
      </c>
      <c r="B34" s="28"/>
      <c r="C34" s="28">
        <f t="shared" ref="C34:E34" si="24">C33/B33-1</f>
        <v>0.81652554320085491</v>
      </c>
      <c r="D34" s="28">
        <f t="shared" si="24"/>
        <v>-0.90260251395960533</v>
      </c>
      <c r="E34" s="28">
        <f t="shared" si="24"/>
        <v>-188.53079092477216</v>
      </c>
      <c r="F34" s="28">
        <f>F33/E33-1</f>
        <v>0.36822508865544701</v>
      </c>
      <c r="G34" s="28">
        <f>G33/F33-1</f>
        <v>-0.72426740668874368</v>
      </c>
      <c r="H34" s="28">
        <f>H33/G33-1</f>
        <v>-1.801980751748002</v>
      </c>
      <c r="I34" s="28">
        <f>I33/H33-1</f>
        <v>3.7589895767647201</v>
      </c>
      <c r="J34" s="87"/>
      <c r="K34" t="s">
        <v>19</v>
      </c>
      <c r="L34" s="98">
        <v>64.524000000000001</v>
      </c>
      <c r="M34" s="98">
        <v>285.209</v>
      </c>
      <c r="N34" s="98">
        <v>357.93899999999996</v>
      </c>
      <c r="O34" s="98">
        <v>384.45100000000002</v>
      </c>
      <c r="P34" s="98">
        <v>427.14300000000003</v>
      </c>
      <c r="Q34" s="98">
        <v>606.21800000000007</v>
      </c>
      <c r="R34" s="98">
        <v>909.48700000000008</v>
      </c>
      <c r="S34" s="98">
        <v>1069.42</v>
      </c>
    </row>
    <row r="35" spans="1:22">
      <c r="A35" s="27" t="s">
        <v>42</v>
      </c>
      <c r="B35" s="29"/>
      <c r="C35" s="29"/>
      <c r="D35" s="29"/>
      <c r="E35" s="28">
        <f>((E33/B33)^(1/3)-1)</f>
        <v>-4.2133197788129362</v>
      </c>
      <c r="F35" s="28">
        <f>((F33/C33)^(1/3)-1)</f>
        <v>-3.9236539059674347</v>
      </c>
      <c r="G35" s="28">
        <f>((G33/D33)^(1/3)-1)</f>
        <v>-5.1359258766498161</v>
      </c>
      <c r="H35" s="28">
        <f>((H33/E33)^(1/3)-1)*-1</f>
        <v>1.6713307392663812</v>
      </c>
      <c r="I35" s="28">
        <f>((I33/F33)^(1/3)-1)*-1</f>
        <v>2.0171592072914901</v>
      </c>
      <c r="K35" s="40" t="s">
        <v>14</v>
      </c>
      <c r="L35" s="19">
        <f t="shared" ref="L35:Q35" si="25">SUM(L28:L34)</f>
        <v>1301.9090000000001</v>
      </c>
      <c r="M35" s="19">
        <f t="shared" si="25"/>
        <v>959.49600000000009</v>
      </c>
      <c r="N35" s="19">
        <f t="shared" si="25"/>
        <v>1600.4009999999998</v>
      </c>
      <c r="O35" s="19">
        <f t="shared" si="25"/>
        <v>1692.0730000000001</v>
      </c>
      <c r="P35" s="19">
        <f t="shared" si="25"/>
        <v>1539.8839999999998</v>
      </c>
      <c r="Q35" s="19">
        <f t="shared" si="25"/>
        <v>1680.8160000000003</v>
      </c>
      <c r="R35" s="19">
        <f t="shared" ref="R35:S35" si="26">SUM(R28:R34)</f>
        <v>2154.6630000000005</v>
      </c>
      <c r="S35" s="19">
        <f t="shared" si="26"/>
        <v>2741.3300000000004</v>
      </c>
    </row>
    <row r="36" spans="1:22">
      <c r="A36" t="s">
        <v>56</v>
      </c>
      <c r="B36" s="5"/>
      <c r="C36" s="5"/>
      <c r="D36" s="5"/>
      <c r="E36" s="5"/>
      <c r="F36" s="5"/>
      <c r="G36" s="5"/>
      <c r="L36" s="5"/>
      <c r="M36" s="5"/>
      <c r="N36" s="5"/>
      <c r="O36" s="5"/>
      <c r="P36" s="5"/>
      <c r="Q36" s="5"/>
      <c r="R36" s="5"/>
    </row>
    <row r="37" spans="1:22">
      <c r="A37" s="1" t="s">
        <v>62</v>
      </c>
      <c r="B37" s="5">
        <v>0.46</v>
      </c>
      <c r="C37" s="5">
        <v>0.54</v>
      </c>
      <c r="D37" s="5">
        <v>0.06</v>
      </c>
      <c r="E37" s="5">
        <v>-9.91</v>
      </c>
      <c r="F37" s="5">
        <v>-13.56</v>
      </c>
      <c r="G37" s="43">
        <v>-3.73</v>
      </c>
      <c r="H37" s="5">
        <v>2.17</v>
      </c>
      <c r="I37" s="5">
        <v>9.68</v>
      </c>
      <c r="K37" s="17" t="s">
        <v>107</v>
      </c>
      <c r="L37" s="18"/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</row>
    <row r="38" spans="1:22">
      <c r="A38" s="1" t="s">
        <v>63</v>
      </c>
      <c r="B38" s="5">
        <v>0.46</v>
      </c>
      <c r="C38" s="5">
        <v>0.54</v>
      </c>
      <c r="D38" s="5">
        <v>0.06</v>
      </c>
      <c r="E38" s="5">
        <v>-9.91</v>
      </c>
      <c r="F38" s="5">
        <v>-13.56</v>
      </c>
      <c r="G38" s="43">
        <v>-3.73</v>
      </c>
      <c r="H38" s="5">
        <v>2.17</v>
      </c>
      <c r="I38" s="5">
        <v>9.68</v>
      </c>
      <c r="J38" s="87"/>
      <c r="L38" s="5"/>
      <c r="M38" s="5"/>
      <c r="N38" s="5"/>
      <c r="O38" s="5"/>
      <c r="P38" s="5"/>
      <c r="Q38" s="5"/>
      <c r="R38" s="5"/>
    </row>
    <row r="39" spans="1:22">
      <c r="A39" s="27" t="s">
        <v>41</v>
      </c>
      <c r="B39" s="28"/>
      <c r="C39" s="28"/>
      <c r="D39" s="28">
        <f t="shared" ref="D39:E39" si="27">D38/C38-1</f>
        <v>-0.88888888888888884</v>
      </c>
      <c r="E39" s="28">
        <f t="shared" si="27"/>
        <v>-166.16666666666669</v>
      </c>
      <c r="F39" s="28">
        <f>F38/E38-1</f>
        <v>0.36831483350151362</v>
      </c>
      <c r="G39" s="28">
        <f>G38/F38-1</f>
        <v>-0.72492625368731567</v>
      </c>
      <c r="H39" s="28">
        <f>H38/G38-1</f>
        <v>-1.581769436997319</v>
      </c>
      <c r="I39" s="28">
        <f>I38/H38-1</f>
        <v>3.4608294930875578</v>
      </c>
      <c r="J39" s="87"/>
      <c r="K39" s="3" t="s">
        <v>20</v>
      </c>
      <c r="L39" s="5"/>
      <c r="M39" s="5"/>
      <c r="N39" s="5"/>
      <c r="O39" s="5"/>
      <c r="P39" s="5"/>
      <c r="Q39" s="5"/>
      <c r="R39" s="5"/>
    </row>
    <row r="40" spans="1:22">
      <c r="A40" s="27" t="s">
        <v>42</v>
      </c>
      <c r="B40" s="29"/>
      <c r="C40" s="29"/>
      <c r="D40" s="29"/>
      <c r="E40" s="28">
        <f>((E38/B38)^(1/3)-1)</f>
        <v>-3.7825220053381989</v>
      </c>
      <c r="F40" s="28">
        <f>((F38/C38)^(1/3)-1)</f>
        <v>-3.9283432145454418</v>
      </c>
      <c r="G40" s="28">
        <f>((G38/D38)^(1/3)-1)</f>
        <v>-4.9614349344105051</v>
      </c>
      <c r="H40" s="28">
        <f>((H38/E38)^(1/3)-1)*-1</f>
        <v>1.6027381671236502</v>
      </c>
      <c r="I40" s="28">
        <f>((I38/F38)^(1/3)-1)*-1</f>
        <v>1.8937277082755299</v>
      </c>
      <c r="K40" t="s">
        <v>21</v>
      </c>
      <c r="L40" s="98">
        <v>118.598</v>
      </c>
      <c r="M40" s="98">
        <v>195.78800000000001</v>
      </c>
      <c r="N40" s="98">
        <v>374.33100000000002</v>
      </c>
      <c r="O40" s="98">
        <v>317.62299999999999</v>
      </c>
      <c r="P40" s="98">
        <v>108.078</v>
      </c>
      <c r="Q40" s="98">
        <v>109.68899999999999</v>
      </c>
      <c r="R40" s="98">
        <f>(24.46+3104.33)/10</f>
        <v>312.87900000000002</v>
      </c>
      <c r="S40">
        <f>1.34+176.87</f>
        <v>178.21</v>
      </c>
    </row>
    <row r="41" spans="1:22">
      <c r="K41" t="s">
        <v>33</v>
      </c>
      <c r="L41" s="98">
        <v>285.73599999999999</v>
      </c>
      <c r="M41" s="98">
        <v>324.53800000000001</v>
      </c>
      <c r="N41" s="98">
        <v>504.3</v>
      </c>
      <c r="O41" s="98">
        <v>1475.6510000000001</v>
      </c>
      <c r="P41" s="98">
        <v>2741.038</v>
      </c>
      <c r="Q41" s="98">
        <v>48.155999999999999</v>
      </c>
      <c r="R41" s="98">
        <v>1.77</v>
      </c>
      <c r="S41" s="98">
        <v>1.02</v>
      </c>
    </row>
    <row r="42" spans="1:22">
      <c r="A42" s="21" t="s">
        <v>65</v>
      </c>
      <c r="B42" s="22" t="s">
        <v>38</v>
      </c>
      <c r="C42" s="22" t="s">
        <v>39</v>
      </c>
      <c r="D42" s="22" t="s">
        <v>37</v>
      </c>
      <c r="E42" s="22" t="s">
        <v>1</v>
      </c>
      <c r="F42" s="22" t="s">
        <v>2</v>
      </c>
      <c r="G42" s="22" t="s">
        <v>57</v>
      </c>
      <c r="H42" s="22" t="s">
        <v>158</v>
      </c>
      <c r="I42" s="22" t="s">
        <v>176</v>
      </c>
      <c r="K42" t="s">
        <v>34</v>
      </c>
      <c r="L42" s="98">
        <v>115.45099999999999</v>
      </c>
      <c r="M42" s="98">
        <v>56.584000000000003</v>
      </c>
      <c r="N42" s="98">
        <v>109.54300000000001</v>
      </c>
      <c r="O42" s="98">
        <v>145.96099999999998</v>
      </c>
      <c r="P42" s="98">
        <v>171.864</v>
      </c>
      <c r="Q42" s="98">
        <v>205.59399999999999</v>
      </c>
      <c r="R42" s="98">
        <v>154.86199999999999</v>
      </c>
      <c r="S42" s="98">
        <v>144.37</v>
      </c>
    </row>
    <row r="43" spans="1:22">
      <c r="A43" t="s">
        <v>66</v>
      </c>
      <c r="B43" s="97">
        <v>18.111818</v>
      </c>
      <c r="C43" s="98">
        <v>718.69200000000001</v>
      </c>
      <c r="D43" s="98">
        <f>(C48)</f>
        <v>24.230000000000473</v>
      </c>
      <c r="E43" s="98">
        <f t="shared" ref="E43:I43" si="28">(D48)</f>
        <v>256.9790000000005</v>
      </c>
      <c r="F43" s="98">
        <f t="shared" si="28"/>
        <v>44.364000000000487</v>
      </c>
      <c r="G43" s="98">
        <f t="shared" si="28"/>
        <v>34.447000000000571</v>
      </c>
      <c r="H43" s="98">
        <f t="shared" si="28"/>
        <v>53.505000000000564</v>
      </c>
      <c r="I43" s="98">
        <f t="shared" si="28"/>
        <v>32.052000000000561</v>
      </c>
      <c r="K43" t="s">
        <v>32</v>
      </c>
      <c r="L43" s="98">
        <v>1.409</v>
      </c>
      <c r="M43" s="98">
        <v>2.399</v>
      </c>
      <c r="N43" s="98">
        <v>3.8079999999999998</v>
      </c>
      <c r="O43" s="98">
        <v>2.4079999999999999</v>
      </c>
      <c r="P43" s="98">
        <v>3.1670000000000003</v>
      </c>
      <c r="Q43" s="98">
        <v>3.2189999999999999</v>
      </c>
      <c r="R43" s="98">
        <v>5.0270000000000001</v>
      </c>
      <c r="S43" s="98">
        <v>4.6500000000000004</v>
      </c>
    </row>
    <row r="44" spans="1:22">
      <c r="A44" s="1" t="s">
        <v>67</v>
      </c>
      <c r="B44" s="97">
        <v>361.27176900000001</v>
      </c>
      <c r="C44" s="98">
        <v>170.10999999999999</v>
      </c>
      <c r="D44" s="98">
        <v>318.613</v>
      </c>
      <c r="E44" s="98">
        <v>827.71699999999998</v>
      </c>
      <c r="F44" s="98">
        <v>1509.0340000000001</v>
      </c>
      <c r="G44" s="98">
        <v>-2441.915</v>
      </c>
      <c r="H44" s="98">
        <v>236.54899999999998</v>
      </c>
      <c r="I44" s="98">
        <v>832.08</v>
      </c>
      <c r="K44" t="s">
        <v>22</v>
      </c>
      <c r="L44" s="98">
        <v>0</v>
      </c>
      <c r="M44" s="98">
        <v>0</v>
      </c>
      <c r="N44" s="98">
        <v>0</v>
      </c>
      <c r="O44" s="98">
        <v>0</v>
      </c>
      <c r="P44" s="98">
        <v>0</v>
      </c>
      <c r="Q44" s="98">
        <v>0</v>
      </c>
      <c r="R44" s="8">
        <v>0</v>
      </c>
      <c r="S44" s="98">
        <v>0</v>
      </c>
    </row>
    <row r="45" spans="1:22">
      <c r="A45" s="1" t="s">
        <v>68</v>
      </c>
      <c r="B45" s="97">
        <v>-1930.8120570000001</v>
      </c>
      <c r="C45" s="98">
        <v>-2587.8869999999997</v>
      </c>
      <c r="D45" s="98">
        <v>-984.154</v>
      </c>
      <c r="E45" s="98">
        <v>-143.38</v>
      </c>
      <c r="F45" s="98">
        <v>-2.4980000000000002</v>
      </c>
      <c r="G45" s="98">
        <v>-13.451000000000001</v>
      </c>
      <c r="H45" s="98">
        <v>-4.1230000000000002</v>
      </c>
      <c r="I45" s="98">
        <v>-134.69</v>
      </c>
      <c r="K45" s="17" t="s">
        <v>20</v>
      </c>
      <c r="L45" s="19">
        <f t="shared" ref="L45:N45" si="29">SUM(L40:L44)</f>
        <v>521.19399999999996</v>
      </c>
      <c r="M45" s="19">
        <f t="shared" si="29"/>
        <v>579.30900000000008</v>
      </c>
      <c r="N45" s="19">
        <f t="shared" si="29"/>
        <v>991.98200000000008</v>
      </c>
      <c r="O45" s="19">
        <f>SUM(O40:O44)</f>
        <v>1941.643</v>
      </c>
      <c r="P45" s="19">
        <f>SUM(P40:P44)</f>
        <v>3024.1469999999999</v>
      </c>
      <c r="Q45" s="19">
        <f>SUM(Q40:Q44)</f>
        <v>366.65799999999996</v>
      </c>
      <c r="R45" s="19">
        <f>SUM(R40:R44)</f>
        <v>474.53799999999995</v>
      </c>
      <c r="S45" s="19">
        <f>SUM(S40:S44)</f>
        <v>328.25</v>
      </c>
    </row>
    <row r="46" spans="1:22">
      <c r="A46" s="1" t="s">
        <v>69</v>
      </c>
      <c r="B46" s="97">
        <v>2271.4053159999999</v>
      </c>
      <c r="C46" s="98">
        <v>1723.3150000000001</v>
      </c>
      <c r="D46" s="98">
        <v>898.29</v>
      </c>
      <c r="E46" s="98">
        <v>-896.952</v>
      </c>
      <c r="F46" s="98">
        <v>-1516.453</v>
      </c>
      <c r="G46" s="98">
        <v>2474.424</v>
      </c>
      <c r="H46" s="98">
        <v>-253.87899999999999</v>
      </c>
      <c r="I46" s="98">
        <v>-642.15</v>
      </c>
      <c r="K46" s="17" t="s">
        <v>23</v>
      </c>
      <c r="L46" s="18">
        <f t="shared" ref="L46:Q46" si="30">L35-L45</f>
        <v>780.71500000000015</v>
      </c>
      <c r="M46" s="18">
        <f t="shared" si="30"/>
        <v>380.18700000000001</v>
      </c>
      <c r="N46" s="18">
        <f t="shared" si="30"/>
        <v>608.41899999999976</v>
      </c>
      <c r="O46" s="18">
        <f t="shared" si="30"/>
        <v>-249.56999999999994</v>
      </c>
      <c r="P46" s="18">
        <f t="shared" si="30"/>
        <v>-1484.2630000000001</v>
      </c>
      <c r="Q46" s="18">
        <f t="shared" si="30"/>
        <v>1314.1580000000004</v>
      </c>
      <c r="R46" s="18">
        <f t="shared" ref="R46:S46" si="31">R35-R45</f>
        <v>1680.1250000000005</v>
      </c>
      <c r="S46" s="18">
        <f t="shared" si="31"/>
        <v>2413.0800000000004</v>
      </c>
    </row>
    <row r="47" spans="1:22">
      <c r="A47" s="30" t="s">
        <v>70</v>
      </c>
      <c r="B47" s="24">
        <f t="shared" ref="B47" si="32">SUM(B44:B46)</f>
        <v>701.86502799999971</v>
      </c>
      <c r="C47" s="31">
        <f>SUM(C44:C46)</f>
        <v>-694.46199999999953</v>
      </c>
      <c r="D47" s="31">
        <f t="shared" ref="D47" si="33">SUM(D44:D46)</f>
        <v>232.74900000000002</v>
      </c>
      <c r="E47" s="31">
        <f t="shared" ref="E47" si="34">SUM(E44:E46)</f>
        <v>-212.61500000000001</v>
      </c>
      <c r="F47" s="31">
        <f t="shared" ref="F47" si="35">SUM(F44:F46)</f>
        <v>-9.9169999999999163</v>
      </c>
      <c r="G47" s="31">
        <f t="shared" ref="G47:I47" si="36">SUM(G44:G46)</f>
        <v>19.057999999999993</v>
      </c>
      <c r="H47" s="31">
        <f t="shared" si="36"/>
        <v>-21.453000000000003</v>
      </c>
      <c r="I47" s="31">
        <f t="shared" si="36"/>
        <v>55.240000000000123</v>
      </c>
      <c r="L47" s="5"/>
      <c r="M47" s="5"/>
      <c r="N47" s="5"/>
      <c r="O47" s="5"/>
      <c r="P47" s="5"/>
      <c r="Q47" s="5"/>
      <c r="R47" s="5"/>
    </row>
    <row r="48" spans="1:22">
      <c r="A48" s="17" t="s">
        <v>71</v>
      </c>
      <c r="B48" s="18">
        <f t="shared" ref="B48:F48" si="37">B43+B47</f>
        <v>719.97684599999968</v>
      </c>
      <c r="C48" s="18">
        <f t="shared" si="37"/>
        <v>24.230000000000473</v>
      </c>
      <c r="D48" s="18">
        <f t="shared" si="37"/>
        <v>256.9790000000005</v>
      </c>
      <c r="E48" s="18">
        <f t="shared" si="37"/>
        <v>44.364000000000487</v>
      </c>
      <c r="F48" s="18">
        <f t="shared" si="37"/>
        <v>34.447000000000571</v>
      </c>
      <c r="G48" s="18">
        <f>G43+G47</f>
        <v>53.505000000000564</v>
      </c>
      <c r="H48" s="18">
        <f>H43+H47</f>
        <v>32.052000000000561</v>
      </c>
      <c r="I48" s="18">
        <f>I43+I47</f>
        <v>87.292000000000684</v>
      </c>
      <c r="K48" t="s">
        <v>156</v>
      </c>
      <c r="L48" s="98">
        <v>36.503</v>
      </c>
      <c r="M48" s="98">
        <v>41.275999999999996</v>
      </c>
      <c r="N48" s="98">
        <v>41.397000000000006</v>
      </c>
      <c r="O48" s="98">
        <v>0</v>
      </c>
      <c r="P48" s="98">
        <v>0</v>
      </c>
      <c r="Q48" s="98">
        <v>0</v>
      </c>
      <c r="R48" s="5">
        <v>0</v>
      </c>
      <c r="S48" s="98">
        <v>0</v>
      </c>
      <c r="T48" s="5"/>
      <c r="U48" s="5"/>
      <c r="V48" s="5"/>
    </row>
    <row r="49" spans="1:20">
      <c r="K49" t="s">
        <v>27</v>
      </c>
      <c r="L49" s="98">
        <v>256.31700000000001</v>
      </c>
      <c r="M49" s="98">
        <v>252.5</v>
      </c>
      <c r="N49" s="98">
        <v>32.5</v>
      </c>
      <c r="O49" s="98">
        <v>32.5</v>
      </c>
      <c r="P49" s="98">
        <v>32.5</v>
      </c>
      <c r="Q49" s="98">
        <v>32.5</v>
      </c>
      <c r="R49" s="98">
        <v>32.5</v>
      </c>
      <c r="S49" s="140">
        <v>36.86</v>
      </c>
    </row>
    <row r="50" spans="1:20">
      <c r="A50" s="21" t="s">
        <v>72</v>
      </c>
      <c r="B50" s="22" t="s">
        <v>38</v>
      </c>
      <c r="C50" s="22" t="s">
        <v>39</v>
      </c>
      <c r="D50" s="22" t="s">
        <v>37</v>
      </c>
      <c r="E50" s="22" t="s">
        <v>1</v>
      </c>
      <c r="F50" s="22" t="s">
        <v>2</v>
      </c>
      <c r="G50" s="22" t="s">
        <v>57</v>
      </c>
      <c r="H50" s="22" t="s">
        <v>158</v>
      </c>
      <c r="I50" s="22" t="s">
        <v>176</v>
      </c>
      <c r="K50" s="1" t="s">
        <v>151</v>
      </c>
      <c r="L50" s="98">
        <v>8.4269999999999996</v>
      </c>
      <c r="M50" s="98">
        <v>11.016999999999999</v>
      </c>
      <c r="N50" s="98">
        <v>14.331999999999999</v>
      </c>
      <c r="O50" s="98">
        <v>17.368000000000002</v>
      </c>
      <c r="P50" s="98">
        <v>17.215</v>
      </c>
      <c r="Q50" s="98">
        <v>20.945</v>
      </c>
      <c r="R50" s="98">
        <v>25.055</v>
      </c>
      <c r="S50" s="98">
        <v>28.1</v>
      </c>
    </row>
    <row r="51" spans="1:20">
      <c r="A51" t="s">
        <v>73</v>
      </c>
      <c r="B51" s="5">
        <f t="shared" ref="B51:F51" si="38">B44</f>
        <v>361.27176900000001</v>
      </c>
      <c r="C51" s="5">
        <f t="shared" si="38"/>
        <v>170.10999999999999</v>
      </c>
      <c r="D51" s="5">
        <f t="shared" si="38"/>
        <v>318.613</v>
      </c>
      <c r="E51" s="5">
        <f t="shared" si="38"/>
        <v>827.71699999999998</v>
      </c>
      <c r="F51" s="5">
        <f t="shared" si="38"/>
        <v>1509.0340000000001</v>
      </c>
      <c r="G51" s="5">
        <f>G44</f>
        <v>-2441.915</v>
      </c>
      <c r="H51" s="5">
        <f>H44</f>
        <v>236.54899999999998</v>
      </c>
      <c r="I51" s="5">
        <f>I44</f>
        <v>832.08</v>
      </c>
      <c r="L51" s="7">
        <f t="shared" ref="L51:N51" si="39">SUM(L48:L50)</f>
        <v>301.24700000000001</v>
      </c>
      <c r="M51" s="7">
        <f t="shared" si="39"/>
        <v>304.79300000000001</v>
      </c>
      <c r="N51" s="7">
        <f t="shared" si="39"/>
        <v>88.228999999999999</v>
      </c>
      <c r="O51" s="7">
        <f>SUM(O48:O50)</f>
        <v>49.868000000000002</v>
      </c>
      <c r="P51" s="7">
        <f>SUM(P48:P50)</f>
        <v>49.715000000000003</v>
      </c>
      <c r="Q51" s="7">
        <f>SUM(Q48:Q50)</f>
        <v>53.445</v>
      </c>
      <c r="R51" s="7">
        <f>SUM(R48:R50)</f>
        <v>57.555</v>
      </c>
      <c r="S51" s="7">
        <f>SUM(S48:S50)</f>
        <v>64.960000000000008</v>
      </c>
    </row>
    <row r="52" spans="1:20">
      <c r="A52" s="25" t="s">
        <v>74</v>
      </c>
      <c r="B52" s="23"/>
      <c r="C52" s="26">
        <f>L16-M16</f>
        <v>-2750.4870000000001</v>
      </c>
      <c r="D52" s="26">
        <f t="shared" ref="D52:I52" si="40">M16-N16</f>
        <v>-2255.1919999999996</v>
      </c>
      <c r="E52" s="26">
        <f t="shared" si="40"/>
        <v>51.256999999999607</v>
      </c>
      <c r="F52" s="26">
        <f t="shared" si="40"/>
        <v>217.05199999999968</v>
      </c>
      <c r="G52" s="26">
        <f t="shared" si="40"/>
        <v>259.43299999999999</v>
      </c>
      <c r="H52" s="26">
        <f t="shared" si="40"/>
        <v>211.61100000000079</v>
      </c>
      <c r="I52" s="26">
        <f t="shared" si="40"/>
        <v>105.7559999999994</v>
      </c>
      <c r="L52" s="9"/>
      <c r="M52" s="9"/>
      <c r="N52" s="9"/>
      <c r="O52" s="9"/>
      <c r="P52" s="9"/>
      <c r="Q52" s="9"/>
      <c r="R52" s="9"/>
    </row>
    <row r="53" spans="1:20">
      <c r="A53" s="17" t="s">
        <v>75</v>
      </c>
      <c r="B53" s="18">
        <f>SUM(B51:B52)</f>
        <v>361.27176900000001</v>
      </c>
      <c r="C53" s="18">
        <f t="shared" ref="C53:G53" si="41">SUM(C51:C52)</f>
        <v>-2580.377</v>
      </c>
      <c r="D53" s="18">
        <f t="shared" si="41"/>
        <v>-1936.5789999999995</v>
      </c>
      <c r="E53" s="18">
        <f t="shared" si="41"/>
        <v>878.97399999999959</v>
      </c>
      <c r="F53" s="18">
        <f t="shared" si="41"/>
        <v>1726.0859999999998</v>
      </c>
      <c r="G53" s="18">
        <f t="shared" si="41"/>
        <v>-2182.482</v>
      </c>
      <c r="H53" s="18">
        <f>SUM(H51:H52)</f>
        <v>448.16000000000076</v>
      </c>
      <c r="I53" s="18">
        <f>SUM(I51:I52)</f>
        <v>937.83599999999944</v>
      </c>
      <c r="K53" t="s">
        <v>106</v>
      </c>
      <c r="L53" s="9"/>
      <c r="M53" s="15">
        <v>0</v>
      </c>
      <c r="N53" s="15">
        <v>0</v>
      </c>
      <c r="O53" s="15">
        <v>0</v>
      </c>
      <c r="P53" s="15">
        <v>0</v>
      </c>
      <c r="Q53" s="15"/>
      <c r="R53" s="15">
        <v>0</v>
      </c>
    </row>
    <row r="54" spans="1:20">
      <c r="L54" s="5"/>
      <c r="M54" s="5"/>
      <c r="N54" s="5"/>
      <c r="O54" s="5"/>
      <c r="P54" s="5"/>
      <c r="Q54" s="5"/>
      <c r="R54" s="5"/>
      <c r="S54" s="5"/>
    </row>
    <row r="55" spans="1:20">
      <c r="A55" s="21" t="s">
        <v>72</v>
      </c>
      <c r="B55" s="22" t="s">
        <v>38</v>
      </c>
      <c r="C55" s="22" t="s">
        <v>39</v>
      </c>
      <c r="D55" s="22" t="s">
        <v>37</v>
      </c>
      <c r="E55" s="22" t="s">
        <v>1</v>
      </c>
      <c r="F55" s="22" t="s">
        <v>2</v>
      </c>
      <c r="G55" s="22" t="s">
        <v>57</v>
      </c>
      <c r="H55" s="22" t="s">
        <v>158</v>
      </c>
      <c r="I55" s="22" t="s">
        <v>176</v>
      </c>
      <c r="K55" s="17" t="s">
        <v>25</v>
      </c>
      <c r="L55" s="18">
        <f>L5+L9+L45+L51</f>
        <v>4157.759</v>
      </c>
      <c r="M55" s="18">
        <f t="shared" ref="M55:S55" si="42">M5+M9+M45+M51+M53</f>
        <v>5992.4739999999993</v>
      </c>
      <c r="N55" s="18">
        <f t="shared" si="42"/>
        <v>7364.2979999999998</v>
      </c>
      <c r="O55" s="18">
        <f t="shared" si="42"/>
        <v>7669.16</v>
      </c>
      <c r="P55" s="18">
        <f t="shared" si="42"/>
        <v>7523.2240000000002</v>
      </c>
      <c r="Q55" s="18">
        <f t="shared" si="42"/>
        <v>7465.152</v>
      </c>
      <c r="R55" s="18">
        <f t="shared" si="42"/>
        <v>7737.6819999999989</v>
      </c>
      <c r="S55" s="18">
        <f t="shared" si="42"/>
        <v>7811.670000000001</v>
      </c>
    </row>
    <row r="56" spans="1:20">
      <c r="A56" t="s">
        <v>117</v>
      </c>
      <c r="B56" s="5">
        <f t="shared" ref="B56" si="43">49603520/10^6</f>
        <v>49.603520000000003</v>
      </c>
      <c r="C56" s="86">
        <v>44.952247999999997</v>
      </c>
      <c r="D56" s="86">
        <v>44.952247999999997</v>
      </c>
      <c r="E56" s="86">
        <v>44.952247999999997</v>
      </c>
      <c r="F56" s="86">
        <v>44.952247999999997</v>
      </c>
      <c r="G56" s="86">
        <v>62.573202999999999</v>
      </c>
      <c r="H56" s="5">
        <v>63.24</v>
      </c>
      <c r="I56" s="5">
        <v>67.900000000000006</v>
      </c>
      <c r="K56" s="17" t="s">
        <v>24</v>
      </c>
      <c r="L56" s="18">
        <f>L25+L35</f>
        <v>4157.7610000000004</v>
      </c>
      <c r="M56" s="18">
        <f t="shared" ref="M56:P56" si="44">M25+M35+M37</f>
        <v>5992.4760000000006</v>
      </c>
      <c r="N56" s="18">
        <f t="shared" si="44"/>
        <v>7364.2939999999999</v>
      </c>
      <c r="O56" s="18">
        <f t="shared" si="44"/>
        <v>7669.2050000000008</v>
      </c>
      <c r="P56" s="18">
        <f t="shared" si="44"/>
        <v>7523.2290000000003</v>
      </c>
      <c r="Q56" s="18">
        <f>Q25+Q35+Q37</f>
        <v>7465.1540000000005</v>
      </c>
      <c r="R56" s="18">
        <f>R25+R35+R37</f>
        <v>7737.6820000000007</v>
      </c>
      <c r="S56" s="18">
        <f>S25+S35+S37</f>
        <v>7811.68</v>
      </c>
    </row>
    <row r="57" spans="1:20">
      <c r="A57" t="s">
        <v>118</v>
      </c>
      <c r="B57" s="5">
        <v>1</v>
      </c>
      <c r="C57" s="86">
        <v>10</v>
      </c>
      <c r="D57" s="86">
        <v>10</v>
      </c>
      <c r="E57" s="86">
        <v>10</v>
      </c>
      <c r="F57" s="86">
        <v>10</v>
      </c>
      <c r="G57" s="86">
        <v>10</v>
      </c>
      <c r="H57" s="5">
        <v>10</v>
      </c>
      <c r="I57" s="5">
        <v>10</v>
      </c>
      <c r="Q57" s="5"/>
      <c r="R57" s="5"/>
    </row>
    <row r="58" spans="1:20">
      <c r="A58" s="25" t="s">
        <v>79</v>
      </c>
      <c r="B58" s="26">
        <f t="shared" ref="B58:H58" si="45">B56*L59</f>
        <v>1634.4359840000002</v>
      </c>
      <c r="C58" s="26">
        <f t="shared" si="45"/>
        <v>1953.1751756000001</v>
      </c>
      <c r="D58" s="26">
        <f t="shared" si="45"/>
        <v>2620.7160583999998</v>
      </c>
      <c r="E58" s="26">
        <f t="shared" si="45"/>
        <v>1263.1581687999999</v>
      </c>
      <c r="F58" s="26">
        <f t="shared" si="45"/>
        <v>485.48427839999999</v>
      </c>
      <c r="G58" s="26">
        <f t="shared" si="45"/>
        <v>4580.3584596000001</v>
      </c>
      <c r="H58" s="26">
        <f t="shared" si="45"/>
        <v>4300.32</v>
      </c>
      <c r="I58" s="26">
        <f>I56*S59</f>
        <v>10538.08</v>
      </c>
      <c r="K58" s="21" t="s">
        <v>72</v>
      </c>
      <c r="L58" s="22" t="s">
        <v>38</v>
      </c>
      <c r="M58" s="22" t="s">
        <v>39</v>
      </c>
      <c r="N58" s="22" t="s">
        <v>37</v>
      </c>
      <c r="O58" s="22" t="s">
        <v>1</v>
      </c>
      <c r="P58" s="22" t="s">
        <v>2</v>
      </c>
      <c r="Q58" s="22" t="s">
        <v>57</v>
      </c>
      <c r="R58" s="22" t="s">
        <v>158</v>
      </c>
      <c r="S58" s="22" t="s">
        <v>176</v>
      </c>
      <c r="T58" s="22"/>
    </row>
    <row r="59" spans="1:20">
      <c r="A59" s="25" t="s">
        <v>77</v>
      </c>
      <c r="B59" s="26">
        <f t="shared" ref="B59:E59" si="46">L9</f>
        <v>1952.3620000000001</v>
      </c>
      <c r="C59" s="26">
        <f t="shared" si="46"/>
        <v>3701.0959999999995</v>
      </c>
      <c r="D59" s="26">
        <f t="shared" si="46"/>
        <v>4851.2289999999994</v>
      </c>
      <c r="E59" s="26">
        <f t="shared" si="46"/>
        <v>4680.5689999999995</v>
      </c>
      <c r="F59" s="26">
        <f>P9</f>
        <v>4058.8109999999997</v>
      </c>
      <c r="G59" s="26">
        <f>Q9</f>
        <v>2693.45</v>
      </c>
      <c r="H59" s="26">
        <f>R9</f>
        <v>2688.5299999999997</v>
      </c>
      <c r="I59" s="26">
        <f>S9</f>
        <v>1816.94</v>
      </c>
      <c r="K59" t="s">
        <v>81</v>
      </c>
      <c r="L59" s="5">
        <v>32.950000000000003</v>
      </c>
      <c r="M59" s="5">
        <v>43.45</v>
      </c>
      <c r="N59" s="5">
        <v>58.3</v>
      </c>
      <c r="O59" s="5">
        <v>28.1</v>
      </c>
      <c r="P59" s="5">
        <v>10.8</v>
      </c>
      <c r="Q59" s="5">
        <v>73.2</v>
      </c>
      <c r="R59" s="86">
        <v>68</v>
      </c>
      <c r="S59" s="86">
        <v>155.19999999999999</v>
      </c>
    </row>
    <row r="60" spans="1:20">
      <c r="A60" s="25" t="s">
        <v>78</v>
      </c>
      <c r="B60" s="26">
        <f t="shared" ref="B60:G60" si="47">L31+L32</f>
        <v>718.69200000000001</v>
      </c>
      <c r="C60" s="26">
        <f t="shared" si="47"/>
        <v>24.229999999999997</v>
      </c>
      <c r="D60" s="26">
        <f t="shared" si="47"/>
        <v>256.97899999999998</v>
      </c>
      <c r="E60" s="26">
        <f t="shared" si="47"/>
        <v>44.363999999999997</v>
      </c>
      <c r="F60" s="26">
        <f t="shared" si="47"/>
        <v>34.448</v>
      </c>
      <c r="G60" s="26">
        <f t="shared" si="47"/>
        <v>53.505999999999993</v>
      </c>
      <c r="H60" s="26">
        <f>R31+R32</f>
        <v>32.052</v>
      </c>
      <c r="I60" s="26">
        <f>S31+S32</f>
        <v>87.289999999999992</v>
      </c>
      <c r="K60" s="25" t="s">
        <v>82</v>
      </c>
      <c r="L60" s="26">
        <f t="shared" ref="L60:S60" si="48">B38</f>
        <v>0.46</v>
      </c>
      <c r="M60" s="26">
        <f t="shared" si="48"/>
        <v>0.54</v>
      </c>
      <c r="N60" s="26">
        <f t="shared" si="48"/>
        <v>0.06</v>
      </c>
      <c r="O60" s="26">
        <f t="shared" si="48"/>
        <v>-9.91</v>
      </c>
      <c r="P60" s="26">
        <f t="shared" si="48"/>
        <v>-13.56</v>
      </c>
      <c r="Q60" s="44">
        <f t="shared" si="48"/>
        <v>-3.73</v>
      </c>
      <c r="R60" s="26">
        <f t="shared" si="48"/>
        <v>2.17</v>
      </c>
      <c r="S60" s="26">
        <f t="shared" si="48"/>
        <v>9.68</v>
      </c>
    </row>
    <row r="61" spans="1:20">
      <c r="A61" s="17" t="s">
        <v>80</v>
      </c>
      <c r="B61" s="18">
        <f>SUM(B58:B59)-B60</f>
        <v>2868.1059840000003</v>
      </c>
      <c r="C61" s="18">
        <f t="shared" ref="C61:F61" si="49">SUM(C58:C59)-C60</f>
        <v>5630.0411756000003</v>
      </c>
      <c r="D61" s="18">
        <f t="shared" si="49"/>
        <v>7214.9660583999985</v>
      </c>
      <c r="E61" s="18">
        <f t="shared" si="49"/>
        <v>5899.3631687999996</v>
      </c>
      <c r="F61" s="18">
        <f t="shared" si="49"/>
        <v>4509.8472783999996</v>
      </c>
      <c r="G61" s="18">
        <f t="shared" ref="G61" si="50">SUM(G58:G59)-G60</f>
        <v>7220.3024595999996</v>
      </c>
      <c r="H61" s="18">
        <f t="shared" ref="H61:I61" si="51">SUM(H58:H59)-H60</f>
        <v>6956.7979999999998</v>
      </c>
      <c r="I61" s="18">
        <f t="shared" si="51"/>
        <v>12267.73</v>
      </c>
      <c r="K61" s="25" t="s">
        <v>83</v>
      </c>
      <c r="L61" s="26">
        <f t="shared" ref="L61:S61" si="52">L5/B56</f>
        <v>27.880198824599546</v>
      </c>
      <c r="M61" s="26">
        <f t="shared" si="52"/>
        <v>31.30602055763708</v>
      </c>
      <c r="N61" s="26">
        <f t="shared" si="52"/>
        <v>31.875113342496249</v>
      </c>
      <c r="O61" s="26">
        <f t="shared" si="52"/>
        <v>22.180870687490426</v>
      </c>
      <c r="P61" s="26">
        <f t="shared" si="52"/>
        <v>8.688130569131939</v>
      </c>
      <c r="Q61" s="26">
        <f t="shared" si="52"/>
        <v>69.544130576150948</v>
      </c>
      <c r="R61" s="26">
        <f>R5/H56</f>
        <v>71.427245414294731</v>
      </c>
      <c r="S61" s="26">
        <f t="shared" si="52"/>
        <v>82.496612665684836</v>
      </c>
    </row>
    <row r="62" spans="1:20">
      <c r="K62" t="s">
        <v>84</v>
      </c>
      <c r="L62" s="5">
        <f>18%*B57</f>
        <v>0.18</v>
      </c>
      <c r="M62" s="5">
        <f>15%*C57</f>
        <v>1.5</v>
      </c>
      <c r="N62" s="5">
        <f>15%*D57</f>
        <v>1.5</v>
      </c>
      <c r="O62" s="5">
        <f>15%*E57</f>
        <v>1.5</v>
      </c>
      <c r="P62" s="5">
        <f>15%*F57</f>
        <v>1.5</v>
      </c>
      <c r="Q62" s="5">
        <f>20%*G57</f>
        <v>2</v>
      </c>
      <c r="R62" s="5">
        <f t="shared" ref="R62:S62" si="53">20%*H57</f>
        <v>2</v>
      </c>
      <c r="S62" s="5">
        <f t="shared" si="53"/>
        <v>2</v>
      </c>
    </row>
    <row r="63" spans="1:20">
      <c r="A63" s="42"/>
      <c r="K63" s="25" t="s">
        <v>85</v>
      </c>
      <c r="L63" s="26">
        <f t="shared" ref="L63:Q63" si="54">L59/L60</f>
        <v>71.630434782608702</v>
      </c>
      <c r="M63" s="26">
        <f t="shared" si="54"/>
        <v>80.462962962962962</v>
      </c>
      <c r="N63" s="26">
        <f t="shared" si="54"/>
        <v>971.66666666666663</v>
      </c>
      <c r="O63" s="26">
        <f t="shared" si="54"/>
        <v>-2.8355196770938447</v>
      </c>
      <c r="P63" s="26">
        <f t="shared" si="54"/>
        <v>-0.79646017699115046</v>
      </c>
      <c r="Q63" s="26">
        <f t="shared" si="54"/>
        <v>-19.624664879356569</v>
      </c>
      <c r="R63" s="44">
        <f>R59/5.61</f>
        <v>12.121212121212121</v>
      </c>
      <c r="S63" s="44">
        <f>S59/I38</f>
        <v>16.033057851239668</v>
      </c>
    </row>
    <row r="64" spans="1:20">
      <c r="C64" s="100"/>
      <c r="D64" s="100"/>
      <c r="E64" s="100"/>
      <c r="F64" s="100"/>
      <c r="G64" s="100"/>
      <c r="H64" s="138"/>
      <c r="I64" s="138"/>
      <c r="K64" s="25" t="s">
        <v>86</v>
      </c>
      <c r="L64" s="26">
        <f t="shared" ref="L64:P64" si="55">L59/L61</f>
        <v>1.1818423608560216</v>
      </c>
      <c r="M64" s="26">
        <f t="shared" si="55"/>
        <v>1.3879119487577416</v>
      </c>
      <c r="N64" s="26">
        <f t="shared" si="55"/>
        <v>1.829013104159658</v>
      </c>
      <c r="O64" s="26">
        <f t="shared" si="55"/>
        <v>1.2668573923857664</v>
      </c>
      <c r="P64" s="26">
        <f t="shared" si="55"/>
        <v>1.2430752408776318</v>
      </c>
      <c r="Q64" s="26">
        <f t="shared" ref="Q64:S64" si="56">Q59/Q61</f>
        <v>1.0525690578566638</v>
      </c>
      <c r="R64" s="44">
        <f t="shared" si="56"/>
        <v>0.95201767344637322</v>
      </c>
      <c r="S64" s="44">
        <f t="shared" si="56"/>
        <v>1.8812893643153998</v>
      </c>
    </row>
    <row r="65" spans="3:19">
      <c r="C65" s="5"/>
      <c r="D65" s="5"/>
      <c r="E65" s="5"/>
      <c r="F65" s="5"/>
      <c r="G65" s="5"/>
      <c r="K65" s="25" t="s">
        <v>87</v>
      </c>
      <c r="L65" s="26">
        <f t="shared" ref="L65:Q65" si="57">B61/B13</f>
        <v>34.846815257894278</v>
      </c>
      <c r="M65" s="26">
        <f t="shared" si="57"/>
        <v>92.354803490756368</v>
      </c>
      <c r="N65" s="26">
        <f t="shared" si="57"/>
        <v>42.172314364372816</v>
      </c>
      <c r="O65" s="26">
        <f t="shared" si="57"/>
        <v>31.584216727521973</v>
      </c>
      <c r="P65" s="26">
        <f t="shared" si="57"/>
        <v>15.568107697671611</v>
      </c>
      <c r="Q65" s="26">
        <f t="shared" si="57"/>
        <v>22.254044424855671</v>
      </c>
      <c r="R65" s="44">
        <f>H61/600</f>
        <v>11.594663333333333</v>
      </c>
      <c r="S65" s="44">
        <f>I61/I13</f>
        <v>8.8373652718767044</v>
      </c>
    </row>
    <row r="66" spans="3:19">
      <c r="K66" s="25" t="s">
        <v>101</v>
      </c>
      <c r="L66" s="26"/>
      <c r="M66" s="26">
        <f t="shared" ref="M66:R66" si="58">C3/SUM(M16:M18)</f>
        <v>0.14740423502084327</v>
      </c>
      <c r="N66" s="26">
        <f t="shared" si="58"/>
        <v>0.29577932932455109</v>
      </c>
      <c r="O66" s="26">
        <f t="shared" si="58"/>
        <v>0.42895220806139689</v>
      </c>
      <c r="P66" s="26">
        <f t="shared" si="58"/>
        <v>0.47798731523329346</v>
      </c>
      <c r="Q66" s="26">
        <f t="shared" si="58"/>
        <v>0.48738866319070029</v>
      </c>
      <c r="R66" s="26">
        <f t="shared" si="58"/>
        <v>0.83484933217786073</v>
      </c>
      <c r="S66" s="26">
        <f>I3/SUM(S16:S18)</f>
        <v>1.2164495951462988</v>
      </c>
    </row>
    <row r="67" spans="3:19">
      <c r="K67" s="25" t="s">
        <v>88</v>
      </c>
      <c r="L67" s="38">
        <f>B24/L5</f>
        <v>9.7094354411853857E-3</v>
      </c>
      <c r="M67" s="38">
        <f t="shared" ref="M67:R67" si="59">C28/M5</f>
        <v>1.7338460969987424E-2</v>
      </c>
      <c r="N67" s="38">
        <f t="shared" si="59"/>
        <v>1.737785600527129E-3</v>
      </c>
      <c r="O67" s="38">
        <f t="shared" si="59"/>
        <v>-0.44686183656276351</v>
      </c>
      <c r="P67" s="38">
        <f t="shared" si="59"/>
        <v>-1.5608128003769037</v>
      </c>
      <c r="Q67" s="38">
        <f t="shared" si="59"/>
        <v>-3.857708396384868E-2</v>
      </c>
      <c r="R67" s="38">
        <f t="shared" si="59"/>
        <v>3.0251320604844867E-2</v>
      </c>
      <c r="S67" s="38">
        <f>I28/S5</f>
        <v>0.11114268984132882</v>
      </c>
    </row>
    <row r="68" spans="3:19">
      <c r="K68" s="25" t="s">
        <v>89</v>
      </c>
      <c r="L68" s="38">
        <f t="shared" ref="L68:S68" si="60">(B21+B19)/L12</f>
        <v>1.7373548680578808E-2</v>
      </c>
      <c r="M68" s="38">
        <f t="shared" si="60"/>
        <v>1.0501544135514814E-2</v>
      </c>
      <c r="N68" s="38">
        <f t="shared" si="60"/>
        <v>4.3511221430899111E-2</v>
      </c>
      <c r="O68" s="38">
        <f t="shared" si="60"/>
        <v>-3.0933070884018076E-3</v>
      </c>
      <c r="P68" s="38">
        <f t="shared" si="60"/>
        <v>2.3153642858825926E-2</v>
      </c>
      <c r="Q68" s="38">
        <f t="shared" si="60"/>
        <v>1.7208226133145692E-2</v>
      </c>
      <c r="R68" s="38">
        <f t="shared" si="60"/>
        <v>6.2228791437716369E-2</v>
      </c>
      <c r="S68" s="38">
        <f t="shared" si="60"/>
        <v>0.16752660673073808</v>
      </c>
    </row>
    <row r="69" spans="3:19">
      <c r="K69" s="25" t="s">
        <v>90</v>
      </c>
      <c r="L69" s="26">
        <f t="shared" ref="L69:Q69" si="61">L9/L5</f>
        <v>1.4117311035202855</v>
      </c>
      <c r="M69" s="26">
        <f t="shared" si="61"/>
        <v>2.6299716615646105</v>
      </c>
      <c r="N69" s="26">
        <f t="shared" si="61"/>
        <v>3.3857011650840478</v>
      </c>
      <c r="O69" s="26">
        <f t="shared" si="61"/>
        <v>4.6942762867573311</v>
      </c>
      <c r="P69" s="26">
        <f t="shared" si="61"/>
        <v>10.392524919920827</v>
      </c>
      <c r="Q69" s="26">
        <f t="shared" si="61"/>
        <v>0.61895638821499865</v>
      </c>
      <c r="R69" s="26">
        <f t="shared" ref="R69:S69" si="62">R9/R5</f>
        <v>0.59519479378064355</v>
      </c>
      <c r="S69" s="26">
        <f t="shared" si="62"/>
        <v>0.32436552935631757</v>
      </c>
    </row>
    <row r="70" spans="3:19">
      <c r="E70" s="99"/>
      <c r="K70" s="25" t="s">
        <v>91</v>
      </c>
      <c r="L70" s="26">
        <f t="shared" ref="L70:Q70" si="63">(L9-L31-L32)/L5</f>
        <v>0.8920529648087141</v>
      </c>
      <c r="M70" s="26">
        <f t="shared" si="63"/>
        <v>2.612754001347283</v>
      </c>
      <c r="N70" s="26">
        <f t="shared" si="63"/>
        <v>3.206354014145155</v>
      </c>
      <c r="O70" s="26">
        <f t="shared" si="63"/>
        <v>4.6497823645043512</v>
      </c>
      <c r="P70" s="26">
        <f t="shared" si="63"/>
        <v>10.304321330632872</v>
      </c>
      <c r="Q70" s="26">
        <f t="shared" si="63"/>
        <v>0.60666067806339685</v>
      </c>
      <c r="R70" s="26">
        <f t="shared" ref="R70:S70" si="64">(R9-R31-R32)/R5</f>
        <v>0.58809902637977507</v>
      </c>
      <c r="S70" s="26">
        <f t="shared" si="64"/>
        <v>0.30878225910110108</v>
      </c>
    </row>
    <row r="71" spans="3:19">
      <c r="E71" s="99"/>
      <c r="K71" s="25" t="s">
        <v>92</v>
      </c>
      <c r="L71" s="39">
        <f t="shared" ref="L71:Q71" si="65">L62/L59</f>
        <v>5.4628224582701059E-3</v>
      </c>
      <c r="M71" s="39">
        <f t="shared" si="65"/>
        <v>3.4522439585730723E-2</v>
      </c>
      <c r="N71" s="39">
        <f t="shared" si="65"/>
        <v>2.5728987993138937E-2</v>
      </c>
      <c r="O71" s="39">
        <f t="shared" si="65"/>
        <v>5.3380782918149461E-2</v>
      </c>
      <c r="P71" s="39">
        <f t="shared" si="65"/>
        <v>0.13888888888888887</v>
      </c>
      <c r="Q71" s="39">
        <f t="shared" si="65"/>
        <v>2.7322404371584699E-2</v>
      </c>
      <c r="R71" s="39">
        <f t="shared" ref="R71:S71" si="66">R62/R59</f>
        <v>2.9411764705882353E-2</v>
      </c>
      <c r="S71" s="39">
        <f t="shared" si="66"/>
        <v>1.2886597938144331E-2</v>
      </c>
    </row>
    <row r="72" spans="3:19">
      <c r="E72" s="99"/>
      <c r="K72" s="25" t="s">
        <v>93</v>
      </c>
      <c r="L72" s="26"/>
      <c r="M72" s="26">
        <f t="shared" ref="M72:R72" si="67">AVERAGE(L30:M30)/C3*365</f>
        <v>86.825124975553592</v>
      </c>
      <c r="N72" s="26">
        <f t="shared" si="67"/>
        <v>43.645370501054366</v>
      </c>
      <c r="O72" s="26">
        <f t="shared" si="67"/>
        <v>45.046645636530769</v>
      </c>
      <c r="P72" s="26">
        <f t="shared" si="67"/>
        <v>46.423029031716084</v>
      </c>
      <c r="Q72" s="26">
        <f t="shared" si="67"/>
        <v>47.900735965707156</v>
      </c>
      <c r="R72" s="26">
        <f t="shared" si="67"/>
        <v>33.850881710533045</v>
      </c>
      <c r="S72" s="26">
        <f>AVERAGE(R30:S30)/I3*365</f>
        <v>27.12929483952945</v>
      </c>
    </row>
    <row r="73" spans="3:19">
      <c r="K73" s="25" t="s">
        <v>94</v>
      </c>
      <c r="L73" s="26"/>
      <c r="M73" s="26">
        <f t="shared" ref="M73:R73" si="68">AVERAGE(L40:M40)/(SUM(C7:C12))*365</f>
        <v>88.300073255788902</v>
      </c>
      <c r="N73" s="26">
        <f t="shared" si="68"/>
        <v>68.991190001299643</v>
      </c>
      <c r="O73" s="26">
        <f t="shared" si="68"/>
        <v>56.893703206785339</v>
      </c>
      <c r="P73" s="26">
        <f t="shared" si="68"/>
        <v>33.963594805072177</v>
      </c>
      <c r="Q73" s="26">
        <f t="shared" si="68"/>
        <v>18.253118084892371</v>
      </c>
      <c r="R73" s="26">
        <f t="shared" si="68"/>
        <v>22.128740315638449</v>
      </c>
      <c r="S73" s="26">
        <f>AVERAGE(R40:S40)/(SUM(I7:I12))*365</f>
        <v>19.905421546663518</v>
      </c>
    </row>
    <row r="74" spans="3:19">
      <c r="E74" s="99"/>
      <c r="K74" s="25" t="s">
        <v>95</v>
      </c>
      <c r="L74" s="26"/>
      <c r="M74" s="26">
        <f t="shared" ref="M74:R74" si="69">AVERAGE(L28:M28)/(SUM(C7:C12))*365</f>
        <v>219.44921573214236</v>
      </c>
      <c r="N74" s="26">
        <f t="shared" si="69"/>
        <v>141.78396920396042</v>
      </c>
      <c r="O74" s="26">
        <f t="shared" si="69"/>
        <v>133.45880755413347</v>
      </c>
      <c r="P74" s="26">
        <f t="shared" si="69"/>
        <v>132.8478462155874</v>
      </c>
      <c r="Q74" s="26">
        <f t="shared" si="69"/>
        <v>119.33514383423855</v>
      </c>
      <c r="R74" s="26">
        <f t="shared" si="69"/>
        <v>76.022587517933999</v>
      </c>
      <c r="S74" s="26">
        <f>AVERAGE(R28:S28)/(SUM(I7:I12))*365</f>
        <v>77.223375722574161</v>
      </c>
    </row>
    <row r="75" spans="3:19">
      <c r="E75" s="99"/>
      <c r="K75" s="25" t="s">
        <v>96</v>
      </c>
      <c r="L75" s="26"/>
      <c r="M75" s="26">
        <f>M72+M74-M73</f>
        <v>217.97426745190705</v>
      </c>
      <c r="N75" s="26">
        <f t="shared" ref="N75:P75" si="70">N72+N74-N73</f>
        <v>116.43814970371515</v>
      </c>
      <c r="O75" s="26">
        <f t="shared" si="70"/>
        <v>121.61174998387889</v>
      </c>
      <c r="P75" s="26">
        <f t="shared" si="70"/>
        <v>145.3072804422313</v>
      </c>
      <c r="Q75" s="26">
        <f t="shared" ref="Q75:S75" si="71">Q72+Q74-Q73</f>
        <v>148.98276171505333</v>
      </c>
      <c r="R75" s="26">
        <f t="shared" si="71"/>
        <v>87.744728912828592</v>
      </c>
      <c r="S75" s="26">
        <f t="shared" si="71"/>
        <v>84.447249015440093</v>
      </c>
    </row>
    <row r="76" spans="3:19">
      <c r="E76" s="99"/>
      <c r="K76" s="25" t="s">
        <v>97</v>
      </c>
      <c r="L76" s="26"/>
      <c r="M76" s="26">
        <f t="shared" ref="M76:S76" si="72">AVERAGE(L46:M46)/C3*365</f>
        <v>298.09060006556558</v>
      </c>
      <c r="N76" s="26">
        <f t="shared" si="72"/>
        <v>107.44443928325347</v>
      </c>
      <c r="O76" s="26">
        <f t="shared" si="72"/>
        <v>27.215038680379045</v>
      </c>
      <c r="P76" s="26">
        <f t="shared" si="72"/>
        <v>-122.78093663264069</v>
      </c>
      <c r="Q76" s="26">
        <f t="shared" si="72"/>
        <v>-12.408993595275605</v>
      </c>
      <c r="R76" s="26">
        <f t="shared" si="72"/>
        <v>133.06174591347505</v>
      </c>
      <c r="S76" s="26">
        <f t="shared" si="72"/>
        <v>126.81292328768752</v>
      </c>
    </row>
    <row r="77" spans="3:19">
      <c r="E77" s="99"/>
      <c r="K77" s="25" t="s">
        <v>98</v>
      </c>
      <c r="L77" s="38">
        <f t="shared" ref="L77:S77" si="73">B19/L9</f>
        <v>1.906102147040354E-2</v>
      </c>
      <c r="M77" s="38">
        <f t="shared" si="73"/>
        <v>6.8682357874532305E-3</v>
      </c>
      <c r="N77" s="38">
        <f t="shared" si="73"/>
        <v>5.1913236831326669E-2</v>
      </c>
      <c r="O77" s="38">
        <f t="shared" si="73"/>
        <v>0.15517173232570655</v>
      </c>
      <c r="P77" s="38">
        <f t="shared" si="73"/>
        <v>0.22043278191568916</v>
      </c>
      <c r="Q77" s="38">
        <f t="shared" si="73"/>
        <v>0.12649650077038743</v>
      </c>
      <c r="R77" s="38">
        <f t="shared" si="73"/>
        <v>8.7000331035919268E-2</v>
      </c>
      <c r="S77" s="38">
        <f t="shared" si="73"/>
        <v>0.12217794753816857</v>
      </c>
    </row>
    <row r="78" spans="3:19">
      <c r="E78" s="99"/>
      <c r="K78" s="25" t="s">
        <v>99</v>
      </c>
      <c r="L78" s="26">
        <f t="shared" ref="L78:S78" si="74">(B21+B19)/B19</f>
        <v>1.595876139563982</v>
      </c>
      <c r="M78" s="26">
        <f t="shared" si="74"/>
        <v>2.1488985051140848</v>
      </c>
      <c r="N78" s="26">
        <f t="shared" si="74"/>
        <v>1.0121146905016225</v>
      </c>
      <c r="O78" s="26">
        <f t="shared" si="74"/>
        <v>-1.969868868168775E-2</v>
      </c>
      <c r="P78" s="26">
        <f t="shared" si="74"/>
        <v>8.3467550394268286E-2</v>
      </c>
      <c r="Q78" s="26">
        <f t="shared" si="74"/>
        <v>0.33074268003475088</v>
      </c>
      <c r="R78" s="26">
        <f t="shared" si="74"/>
        <v>1.7664672962723862</v>
      </c>
      <c r="S78" s="26">
        <f t="shared" si="74"/>
        <v>5.352889769809452</v>
      </c>
    </row>
    <row r="79" spans="3:19">
      <c r="Q79" s="5"/>
    </row>
    <row r="81" spans="11:18">
      <c r="K81" t="s">
        <v>35</v>
      </c>
      <c r="L81" s="6">
        <f t="shared" ref="L81:Q81" si="75">L55-L56</f>
        <v>-2.0000000004074536E-3</v>
      </c>
      <c r="M81" s="6">
        <f t="shared" si="75"/>
        <v>-2.0000000013169483E-3</v>
      </c>
      <c r="N81" s="6">
        <f t="shared" si="75"/>
        <v>3.9999999999054126E-3</v>
      </c>
      <c r="O81" s="6">
        <f t="shared" si="75"/>
        <v>-4.5000000000982254E-2</v>
      </c>
      <c r="P81" s="6">
        <f t="shared" si="75"/>
        <v>-5.0000000001091394E-3</v>
      </c>
      <c r="Q81" s="5">
        <f t="shared" si="75"/>
        <v>-2.0000000004074536E-3</v>
      </c>
      <c r="R81" s="5">
        <f t="shared" ref="R81" si="76">R55-R56</f>
        <v>0</v>
      </c>
    </row>
    <row r="82" spans="11:18">
      <c r="K82" t="s">
        <v>36</v>
      </c>
      <c r="L82" s="6">
        <f t="shared" ref="L82:Q82" si="77">L11-L12</f>
        <v>-2.0000000004074536E-3</v>
      </c>
      <c r="M82" s="6">
        <f t="shared" si="77"/>
        <v>-2.0000000004074536E-3</v>
      </c>
      <c r="N82" s="6">
        <f t="shared" si="77"/>
        <v>3.9999999999054126E-3</v>
      </c>
      <c r="O82" s="6">
        <f t="shared" si="77"/>
        <v>-4.500000000007276E-2</v>
      </c>
      <c r="P82" s="6">
        <f t="shared" si="77"/>
        <v>-5.0000000005638867E-3</v>
      </c>
      <c r="Q82" s="5">
        <f t="shared" si="77"/>
        <v>-2.0000000004074536E-3</v>
      </c>
      <c r="R82" s="5">
        <f t="shared" ref="R82" si="78">R11-R12</f>
        <v>0</v>
      </c>
    </row>
    <row r="84" spans="11:18">
      <c r="M84" s="139"/>
      <c r="N84" s="139"/>
      <c r="O84" s="139"/>
      <c r="P84" s="139"/>
      <c r="Q84" s="139"/>
      <c r="R84" s="139"/>
    </row>
  </sheetData>
  <printOptions horizontalCentered="1" verticalCentered="1"/>
  <pageMargins left="0" right="0" top="0.196850393700787" bottom="0" header="0" footer="0"/>
  <pageSetup paperSize="4" scale="43" orientation="landscape" horizontalDpi="1200" verticalDpi="1200" r:id="rId1"/>
  <ignoredErrors>
    <ignoredError sqref="B47 N72:P72 D47:G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F7A3-43E2-4C46-AD0D-5A9A4914817F}">
  <dimension ref="A1:L50"/>
  <sheetViews>
    <sheetView workbookViewId="0">
      <selection activeCell="G55" sqref="G55"/>
    </sheetView>
  </sheetViews>
  <sheetFormatPr defaultColWidth="8.85546875" defaultRowHeight="12.75"/>
  <cols>
    <col min="1" max="1" width="32.140625" style="102" bestFit="1" customWidth="1"/>
    <col min="2" max="2" width="12.140625" style="102" bestFit="1" customWidth="1"/>
    <col min="3" max="3" width="10.140625" style="102" bestFit="1" customWidth="1"/>
    <col min="4" max="4" width="15.85546875" style="102" bestFit="1" customWidth="1"/>
    <col min="5" max="5" width="16.7109375" style="102" bestFit="1" customWidth="1"/>
    <col min="6" max="7" width="17.28515625" style="102" bestFit="1" customWidth="1"/>
    <col min="8" max="9" width="19.140625" style="102" bestFit="1" customWidth="1"/>
    <col min="10" max="11" width="16.42578125" style="102" bestFit="1" customWidth="1"/>
    <col min="12" max="16384" width="8.85546875" style="102"/>
  </cols>
  <sheetData>
    <row r="1" spans="1:12" ht="15.75" thickBot="1">
      <c r="A1" s="101" t="s">
        <v>157</v>
      </c>
      <c r="B1" s="145" t="s">
        <v>170</v>
      </c>
      <c r="C1" s="146"/>
      <c r="D1" s="145" t="s">
        <v>171</v>
      </c>
      <c r="E1" s="146"/>
      <c r="F1" s="145" t="s">
        <v>172</v>
      </c>
      <c r="G1" s="146"/>
      <c r="H1" s="145" t="s">
        <v>173</v>
      </c>
      <c r="I1" s="146"/>
      <c r="J1" s="145" t="s">
        <v>174</v>
      </c>
      <c r="K1" s="146"/>
    </row>
    <row r="2" spans="1:12" ht="15">
      <c r="A2" s="103" t="s">
        <v>108</v>
      </c>
      <c r="B2" s="104" t="s">
        <v>57</v>
      </c>
      <c r="C2" s="104" t="s">
        <v>158</v>
      </c>
      <c r="D2" s="104" t="s">
        <v>57</v>
      </c>
      <c r="E2" s="104" t="s">
        <v>158</v>
      </c>
      <c r="F2" s="104" t="s">
        <v>57</v>
      </c>
      <c r="G2" s="104" t="s">
        <v>158</v>
      </c>
      <c r="H2" s="104" t="s">
        <v>57</v>
      </c>
      <c r="I2" s="104" t="s">
        <v>158</v>
      </c>
      <c r="J2" s="104" t="s">
        <v>57</v>
      </c>
      <c r="K2" s="104" t="s">
        <v>158</v>
      </c>
    </row>
    <row r="3" spans="1:12" ht="15">
      <c r="A3" s="105" t="s">
        <v>159</v>
      </c>
      <c r="B3" s="132">
        <v>250.17</v>
      </c>
      <c r="C3" s="132"/>
      <c r="D3" s="118">
        <v>20972.799999999999</v>
      </c>
      <c r="E3" s="118">
        <v>26880.7</v>
      </c>
      <c r="F3" s="132"/>
      <c r="G3" s="132"/>
      <c r="H3" s="132"/>
      <c r="I3" s="132"/>
      <c r="J3" s="111"/>
      <c r="K3" s="111"/>
      <c r="L3" s="102">
        <v>10</v>
      </c>
    </row>
    <row r="4" spans="1:12" ht="15">
      <c r="A4" s="106" t="s">
        <v>141</v>
      </c>
      <c r="B4" s="107">
        <v>0.14199999999999999</v>
      </c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>
      <c r="A5" s="105" t="s">
        <v>47</v>
      </c>
      <c r="B5" s="108">
        <v>32.44</v>
      </c>
      <c r="C5" s="108"/>
      <c r="D5" s="118">
        <v>2836.2</v>
      </c>
      <c r="E5" s="118">
        <v>3836.7</v>
      </c>
      <c r="F5" s="108"/>
      <c r="G5" s="108"/>
      <c r="H5" s="108"/>
      <c r="I5" s="108"/>
      <c r="J5" s="111"/>
      <c r="K5" s="111"/>
    </row>
    <row r="6" spans="1:12" ht="15">
      <c r="A6" s="106" t="s">
        <v>141</v>
      </c>
      <c r="B6" s="107">
        <v>0.23799999999999999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12" ht="15">
      <c r="A7" s="105" t="s">
        <v>143</v>
      </c>
      <c r="B7" s="110">
        <f>B5/B3</f>
        <v>0.12967182316025103</v>
      </c>
      <c r="C7" s="110" t="e">
        <f t="shared" ref="C7:K7" si="0">C5/C3</f>
        <v>#DIV/0!</v>
      </c>
      <c r="D7" s="110">
        <f t="shared" si="0"/>
        <v>0.13523230088495575</v>
      </c>
      <c r="E7" s="110">
        <f t="shared" si="0"/>
        <v>0.14273065805577978</v>
      </c>
      <c r="F7" s="110" t="e">
        <f t="shared" si="0"/>
        <v>#DIV/0!</v>
      </c>
      <c r="G7" s="110" t="e">
        <f t="shared" si="0"/>
        <v>#DIV/0!</v>
      </c>
      <c r="H7" s="110" t="e">
        <f t="shared" si="0"/>
        <v>#DIV/0!</v>
      </c>
      <c r="I7" s="110" t="e">
        <f t="shared" si="0"/>
        <v>#DIV/0!</v>
      </c>
      <c r="J7" s="110" t="e">
        <f t="shared" si="0"/>
        <v>#DIV/0!</v>
      </c>
      <c r="K7" s="110" t="e">
        <f t="shared" si="0"/>
        <v>#DIV/0!</v>
      </c>
    </row>
    <row r="8" spans="1:12" ht="15">
      <c r="A8" s="105" t="s">
        <v>142</v>
      </c>
      <c r="B8" s="108">
        <v>-16.79</v>
      </c>
      <c r="C8" s="108"/>
      <c r="D8" s="118">
        <v>1515</v>
      </c>
      <c r="E8" s="118">
        <v>2914.3</v>
      </c>
      <c r="F8" s="108"/>
      <c r="G8" s="108"/>
      <c r="H8" s="108"/>
      <c r="I8" s="108"/>
      <c r="J8" s="111"/>
      <c r="K8" s="111"/>
    </row>
    <row r="9" spans="1:12" ht="15">
      <c r="A9" s="106" t="s">
        <v>141</v>
      </c>
      <c r="B9" s="107">
        <v>-5.07</v>
      </c>
      <c r="C9" s="107"/>
      <c r="D9" s="107"/>
      <c r="E9" s="107"/>
      <c r="F9" s="107"/>
      <c r="G9" s="107"/>
      <c r="H9" s="107"/>
      <c r="I9" s="107"/>
      <c r="J9" s="107"/>
      <c r="K9" s="107"/>
    </row>
    <row r="10" spans="1:12" ht="15">
      <c r="A10" s="105" t="s">
        <v>140</v>
      </c>
      <c r="B10" s="110">
        <f>B8/B3</f>
        <v>-6.7114362233681099E-2</v>
      </c>
      <c r="C10" s="110" t="e">
        <f t="shared" ref="C10:K10" si="1">C8/C3</f>
        <v>#DIV/0!</v>
      </c>
      <c r="D10" s="110">
        <f t="shared" si="1"/>
        <v>7.2236420506560886E-2</v>
      </c>
      <c r="E10" s="110">
        <f t="shared" si="1"/>
        <v>0.10841607547422501</v>
      </c>
      <c r="F10" s="110" t="e">
        <f t="shared" si="1"/>
        <v>#DIV/0!</v>
      </c>
      <c r="G10" s="110" t="e">
        <f t="shared" si="1"/>
        <v>#DIV/0!</v>
      </c>
      <c r="H10" s="110" t="e">
        <f t="shared" si="1"/>
        <v>#DIV/0!</v>
      </c>
      <c r="I10" s="110" t="e">
        <f t="shared" si="1"/>
        <v>#DIV/0!</v>
      </c>
      <c r="J10" s="110" t="e">
        <f t="shared" si="1"/>
        <v>#DIV/0!</v>
      </c>
      <c r="K10" s="110" t="e">
        <f t="shared" si="1"/>
        <v>#DIV/0!</v>
      </c>
    </row>
    <row r="11" spans="1:12" ht="15">
      <c r="A11" s="106" t="s">
        <v>56</v>
      </c>
      <c r="B11" s="111">
        <v>-3.73</v>
      </c>
      <c r="C11" s="111"/>
      <c r="D11" s="111">
        <v>4.91</v>
      </c>
      <c r="E11" s="111">
        <v>9.56</v>
      </c>
      <c r="F11" s="111"/>
      <c r="G11" s="111"/>
      <c r="H11" s="111"/>
      <c r="I11" s="111"/>
      <c r="J11" s="111"/>
      <c r="K11" s="111"/>
    </row>
    <row r="12" spans="1:12" ht="15">
      <c r="A12" s="106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2" ht="15.75" thickBot="1">
      <c r="A13" s="112"/>
      <c r="B13" s="113"/>
      <c r="C13" s="113"/>
      <c r="D13" s="113"/>
      <c r="E13" s="113"/>
      <c r="F13" s="113"/>
      <c r="G13" s="113"/>
      <c r="H13" s="113"/>
      <c r="I13" s="113"/>
      <c r="J13" s="111"/>
      <c r="K13" s="111"/>
    </row>
    <row r="14" spans="1:12" ht="15.75" thickBot="1">
      <c r="A14" s="114" t="s">
        <v>139</v>
      </c>
      <c r="B14" s="115"/>
      <c r="C14" s="115"/>
      <c r="D14" s="115"/>
      <c r="E14" s="115"/>
      <c r="F14" s="115"/>
      <c r="G14" s="115"/>
      <c r="H14" s="115"/>
      <c r="I14" s="115"/>
      <c r="J14" s="130"/>
      <c r="K14" s="131"/>
    </row>
    <row r="15" spans="1:12" ht="15">
      <c r="A15" s="116" t="s">
        <v>138</v>
      </c>
      <c r="B15" s="108">
        <v>4351.6000000000004</v>
      </c>
      <c r="C15" s="108"/>
      <c r="D15" s="111">
        <v>14035</v>
      </c>
      <c r="E15" s="111">
        <v>16936.7</v>
      </c>
      <c r="F15" s="108"/>
      <c r="G15" s="108"/>
      <c r="H15" s="108"/>
      <c r="I15" s="108"/>
      <c r="J15" s="111"/>
      <c r="K15" s="111"/>
    </row>
    <row r="16" spans="1:12" ht="15">
      <c r="A16" s="105" t="s">
        <v>77</v>
      </c>
      <c r="B16" s="108">
        <f>SUM(B17:B18)</f>
        <v>2693.45</v>
      </c>
      <c r="C16" s="108">
        <f t="shared" ref="C16:K16" si="2">SUM(C17:C18)</f>
        <v>0</v>
      </c>
      <c r="D16" s="108">
        <f t="shared" si="2"/>
        <v>4866.1000000000004</v>
      </c>
      <c r="E16" s="108">
        <f t="shared" si="2"/>
        <v>3664.6000000000004</v>
      </c>
      <c r="F16" s="108">
        <f t="shared" si="2"/>
        <v>0</v>
      </c>
      <c r="G16" s="108">
        <f t="shared" si="2"/>
        <v>0</v>
      </c>
      <c r="H16" s="108">
        <f t="shared" si="2"/>
        <v>0</v>
      </c>
      <c r="I16" s="108">
        <f t="shared" si="2"/>
        <v>0</v>
      </c>
      <c r="J16" s="108">
        <f t="shared" si="2"/>
        <v>0</v>
      </c>
      <c r="K16" s="108">
        <f t="shared" si="2"/>
        <v>0</v>
      </c>
    </row>
    <row r="17" spans="1:11" ht="15">
      <c r="A17" s="119" t="s">
        <v>137</v>
      </c>
      <c r="B17" s="120">
        <v>2143.4499999999998</v>
      </c>
      <c r="C17" s="120"/>
      <c r="D17" s="111">
        <v>2373.9</v>
      </c>
      <c r="E17" s="111">
        <v>1885.4</v>
      </c>
      <c r="F17" s="120"/>
      <c r="G17" s="120"/>
      <c r="H17" s="120"/>
      <c r="I17" s="120"/>
      <c r="J17" s="111"/>
      <c r="K17" s="111"/>
    </row>
    <row r="18" spans="1:11" ht="15">
      <c r="A18" s="119" t="s">
        <v>136</v>
      </c>
      <c r="B18" s="120">
        <v>550</v>
      </c>
      <c r="C18" s="120"/>
      <c r="D18" s="111">
        <v>2492.1999999999998</v>
      </c>
      <c r="E18" s="111">
        <v>1779.2</v>
      </c>
      <c r="F18" s="120"/>
      <c r="G18" s="120"/>
      <c r="H18" s="120"/>
      <c r="I18" s="120"/>
      <c r="J18" s="111"/>
      <c r="K18" s="111"/>
    </row>
    <row r="19" spans="1:11" ht="15">
      <c r="A19" s="106" t="s">
        <v>78</v>
      </c>
      <c r="B19" s="108">
        <v>53.51</v>
      </c>
      <c r="C19" s="108"/>
      <c r="D19" s="111">
        <f>(9946+1941)/10</f>
        <v>1188.7</v>
      </c>
      <c r="E19" s="111">
        <f>(15438+1030)/10</f>
        <v>1646.8</v>
      </c>
      <c r="F19" s="108"/>
      <c r="G19" s="108"/>
      <c r="H19" s="108"/>
      <c r="I19" s="108"/>
      <c r="J19" s="111"/>
      <c r="K19" s="111"/>
    </row>
    <row r="20" spans="1:11" ht="15">
      <c r="A20" s="112" t="s">
        <v>60</v>
      </c>
      <c r="B20" s="121">
        <v>34.07</v>
      </c>
      <c r="C20" s="121"/>
      <c r="D20" s="111">
        <v>569</v>
      </c>
      <c r="E20" s="111">
        <v>424.6</v>
      </c>
      <c r="F20" s="121"/>
      <c r="G20" s="121"/>
      <c r="H20" s="121"/>
      <c r="I20" s="121"/>
      <c r="J20" s="113"/>
      <c r="K20" s="113"/>
    </row>
    <row r="21" spans="1:11" ht="15">
      <c r="A21" s="133" t="s">
        <v>135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5"/>
    </row>
    <row r="22" spans="1:11" ht="15">
      <c r="A22" s="122" t="s">
        <v>134</v>
      </c>
      <c r="B22" s="123">
        <v>-244.19</v>
      </c>
      <c r="C22" s="123"/>
      <c r="D22" s="111">
        <v>2137</v>
      </c>
      <c r="E22" s="111">
        <v>1585.7</v>
      </c>
      <c r="F22" s="123"/>
      <c r="G22" s="123"/>
      <c r="H22" s="123"/>
      <c r="I22" s="123"/>
      <c r="J22" s="127"/>
      <c r="K22" s="127"/>
    </row>
    <row r="23" spans="1:11" ht="15">
      <c r="A23" s="106" t="s">
        <v>160</v>
      </c>
      <c r="B23" s="124">
        <v>-1.35</v>
      </c>
      <c r="C23" s="124"/>
      <c r="D23" s="111">
        <v>-344.5</v>
      </c>
      <c r="E23" s="111">
        <v>557.4</v>
      </c>
      <c r="F23" s="124"/>
      <c r="G23" s="124"/>
      <c r="H23" s="124"/>
      <c r="I23" s="124"/>
      <c r="J23" s="111"/>
      <c r="K23" s="111"/>
    </row>
    <row r="24" spans="1:11" ht="15">
      <c r="A24" s="106" t="s">
        <v>75</v>
      </c>
      <c r="B24" s="124">
        <v>247.44</v>
      </c>
      <c r="C24" s="124"/>
      <c r="D24" s="111">
        <v>-1774.9</v>
      </c>
      <c r="E24" s="111">
        <v>-1605.9</v>
      </c>
      <c r="F24" s="124"/>
      <c r="G24" s="124"/>
      <c r="H24" s="124"/>
      <c r="I24" s="124"/>
      <c r="J24" s="111"/>
      <c r="K24" s="111"/>
    </row>
    <row r="25" spans="1:11" ht="15">
      <c r="A25" s="106" t="s">
        <v>115</v>
      </c>
      <c r="B25" s="108">
        <f>B28*B37</f>
        <v>4580.1239999999998</v>
      </c>
      <c r="C25" s="108">
        <f t="shared" ref="C25:K25" si="3">C28*C37</f>
        <v>0</v>
      </c>
      <c r="D25" s="108">
        <f t="shared" ref="D25:E25" si="4">D28*D37</f>
        <v>10086.960531000001</v>
      </c>
      <c r="E25" s="108">
        <f t="shared" si="4"/>
        <v>40987.800344999996</v>
      </c>
      <c r="F25" s="108">
        <f t="shared" si="3"/>
        <v>0</v>
      </c>
      <c r="G25" s="108">
        <f t="shared" si="3"/>
        <v>0</v>
      </c>
      <c r="H25" s="108">
        <f t="shared" si="3"/>
        <v>0</v>
      </c>
      <c r="I25" s="108">
        <f t="shared" si="3"/>
        <v>0</v>
      </c>
      <c r="J25" s="108">
        <f t="shared" si="3"/>
        <v>0</v>
      </c>
      <c r="K25" s="108">
        <f t="shared" si="3"/>
        <v>0</v>
      </c>
    </row>
    <row r="26" spans="1:11" ht="15">
      <c r="A26" s="106" t="s">
        <v>80</v>
      </c>
      <c r="B26" s="108">
        <f>B15+B16-B19</f>
        <v>6991.54</v>
      </c>
      <c r="C26" s="108">
        <f t="shared" ref="C26:K26" si="5">C15+C16-C19</f>
        <v>0</v>
      </c>
      <c r="D26" s="108">
        <f t="shared" ref="D26:E26" si="6">D15+D16-D19</f>
        <v>17712.399999999998</v>
      </c>
      <c r="E26" s="108">
        <f t="shared" si="6"/>
        <v>18954.500000000004</v>
      </c>
      <c r="F26" s="108">
        <f t="shared" si="5"/>
        <v>0</v>
      </c>
      <c r="G26" s="108">
        <f t="shared" si="5"/>
        <v>0</v>
      </c>
      <c r="H26" s="108">
        <f t="shared" si="5"/>
        <v>0</v>
      </c>
      <c r="I26" s="108">
        <f t="shared" si="5"/>
        <v>0</v>
      </c>
      <c r="J26" s="108">
        <f t="shared" si="5"/>
        <v>0</v>
      </c>
      <c r="K26" s="108">
        <f t="shared" si="5"/>
        <v>0</v>
      </c>
    </row>
    <row r="27" spans="1:11" ht="15">
      <c r="A27" s="106"/>
      <c r="B27" s="111"/>
      <c r="C27" s="111"/>
      <c r="D27" s="111"/>
      <c r="E27" s="111"/>
      <c r="F27" s="111"/>
      <c r="G27" s="111"/>
      <c r="H27" s="111"/>
      <c r="I27" s="111"/>
      <c r="J27" s="111"/>
      <c r="K27" s="111"/>
    </row>
    <row r="28" spans="1:11" ht="15">
      <c r="A28" s="106" t="s">
        <v>161</v>
      </c>
      <c r="B28" s="125">
        <v>62.57</v>
      </c>
      <c r="C28" s="125"/>
      <c r="D28" s="137">
        <f>304742010/1000000</f>
        <v>304.74200999999999</v>
      </c>
      <c r="E28" s="137">
        <f>304742010/1000000</f>
        <v>304.74200999999999</v>
      </c>
      <c r="F28" s="125"/>
      <c r="G28" s="125"/>
      <c r="H28" s="125"/>
      <c r="I28" s="125"/>
      <c r="J28" s="126"/>
      <c r="K28" s="126"/>
    </row>
    <row r="29" spans="1:11" ht="15">
      <c r="A29" s="112"/>
      <c r="B29" s="113"/>
      <c r="C29" s="113"/>
      <c r="D29" s="113"/>
      <c r="E29" s="113"/>
      <c r="F29" s="113"/>
      <c r="G29" s="113"/>
      <c r="H29" s="113"/>
      <c r="I29" s="113"/>
      <c r="J29" s="113"/>
      <c r="K29" s="113"/>
    </row>
    <row r="30" spans="1:11" ht="15">
      <c r="A30" s="133" t="s">
        <v>162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5"/>
    </row>
    <row r="31" spans="1:11" ht="15">
      <c r="A31" s="122" t="s">
        <v>163</v>
      </c>
      <c r="B31" s="117">
        <f>B37/B11</f>
        <v>-19.624664879356569</v>
      </c>
      <c r="C31" s="117" t="e">
        <f t="shared" ref="C31:K31" si="7">C37/C11</f>
        <v>#DIV/0!</v>
      </c>
      <c r="D31" s="117">
        <f t="shared" si="7"/>
        <v>6.741344195519348</v>
      </c>
      <c r="E31" s="117">
        <f t="shared" si="7"/>
        <v>14.069037656903765</v>
      </c>
      <c r="F31" s="117" t="e">
        <f t="shared" si="7"/>
        <v>#DIV/0!</v>
      </c>
      <c r="G31" s="117" t="e">
        <f t="shared" si="7"/>
        <v>#DIV/0!</v>
      </c>
      <c r="H31" s="117" t="e">
        <f t="shared" si="7"/>
        <v>#DIV/0!</v>
      </c>
      <c r="I31" s="117" t="e">
        <f t="shared" si="7"/>
        <v>#DIV/0!</v>
      </c>
      <c r="J31" s="117" t="e">
        <f t="shared" si="7"/>
        <v>#DIV/0!</v>
      </c>
      <c r="K31" s="117" t="e">
        <f t="shared" si="7"/>
        <v>#DIV/0!</v>
      </c>
    </row>
    <row r="32" spans="1:11" ht="15">
      <c r="A32" s="106" t="s">
        <v>92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2" ht="15">
      <c r="A33" s="106" t="s">
        <v>164</v>
      </c>
      <c r="B33" s="108">
        <f>B37/B39</f>
        <v>1.052514937034654</v>
      </c>
      <c r="C33" s="108" t="e">
        <f t="shared" ref="C33:K33" si="8">C37/C39</f>
        <v>#DIV/0!</v>
      </c>
      <c r="D33" s="108">
        <f t="shared" si="8"/>
        <v>0.71870042971143577</v>
      </c>
      <c r="E33" s="108">
        <f t="shared" si="8"/>
        <v>2.420058237141828</v>
      </c>
      <c r="F33" s="108" t="e">
        <f t="shared" si="8"/>
        <v>#DIV/0!</v>
      </c>
      <c r="G33" s="108" t="e">
        <f t="shared" si="8"/>
        <v>#DIV/0!</v>
      </c>
      <c r="H33" s="108" t="e">
        <f t="shared" si="8"/>
        <v>#DIV/0!</v>
      </c>
      <c r="I33" s="108" t="e">
        <f t="shared" si="8"/>
        <v>#DIV/0!</v>
      </c>
      <c r="J33" s="108" t="e">
        <f t="shared" si="8"/>
        <v>#DIV/0!</v>
      </c>
      <c r="K33" s="108" t="e">
        <f t="shared" si="8"/>
        <v>#DIV/0!</v>
      </c>
    </row>
    <row r="34" spans="1:12" ht="15">
      <c r="A34" s="106" t="s">
        <v>131</v>
      </c>
      <c r="B34" s="108">
        <f>B26/B5</f>
        <v>215.52219482120839</v>
      </c>
      <c r="C34" s="108" t="e">
        <f t="shared" ref="C34:K34" si="9">C26/C5</f>
        <v>#DIV/0!</v>
      </c>
      <c r="D34" s="108">
        <f t="shared" si="9"/>
        <v>6.2451167054509549</v>
      </c>
      <c r="E34" s="108">
        <f t="shared" si="9"/>
        <v>4.9403132900669862</v>
      </c>
      <c r="F34" s="108" t="e">
        <f t="shared" si="9"/>
        <v>#DIV/0!</v>
      </c>
      <c r="G34" s="108" t="e">
        <f t="shared" si="9"/>
        <v>#DIV/0!</v>
      </c>
      <c r="H34" s="108" t="e">
        <f t="shared" si="9"/>
        <v>#DIV/0!</v>
      </c>
      <c r="I34" s="108" t="e">
        <f t="shared" si="9"/>
        <v>#DIV/0!</v>
      </c>
      <c r="J34" s="108" t="e">
        <f t="shared" si="9"/>
        <v>#DIV/0!</v>
      </c>
      <c r="K34" s="108" t="e">
        <f t="shared" si="9"/>
        <v>#DIV/0!</v>
      </c>
    </row>
    <row r="35" spans="1:12" ht="15">
      <c r="A35" s="112"/>
      <c r="B35" s="113"/>
      <c r="C35" s="113"/>
      <c r="D35" s="113"/>
      <c r="E35" s="113"/>
      <c r="F35" s="113"/>
      <c r="G35" s="113"/>
      <c r="H35" s="113"/>
      <c r="I35" s="113"/>
      <c r="J35" s="113"/>
      <c r="K35" s="113"/>
    </row>
    <row r="36" spans="1:12" ht="15">
      <c r="A36" s="133" t="s">
        <v>165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5"/>
    </row>
    <row r="37" spans="1:12" ht="15">
      <c r="A37" s="122" t="s">
        <v>166</v>
      </c>
      <c r="B37" s="127">
        <v>73.2</v>
      </c>
      <c r="C37" s="127"/>
      <c r="D37" s="127">
        <v>33.1</v>
      </c>
      <c r="E37" s="127">
        <v>134.5</v>
      </c>
      <c r="F37" s="127"/>
      <c r="G37" s="127"/>
      <c r="H37" s="127"/>
      <c r="I37" s="127"/>
      <c r="J37" s="127"/>
      <c r="K37" s="127"/>
    </row>
    <row r="38" spans="1:12" ht="15">
      <c r="A38" s="106" t="s">
        <v>167</v>
      </c>
      <c r="B38" s="111">
        <f>B15</f>
        <v>4351.6000000000004</v>
      </c>
      <c r="C38" s="111">
        <f t="shared" ref="C38:K38" si="10">C15</f>
        <v>0</v>
      </c>
      <c r="D38" s="111">
        <f t="shared" si="10"/>
        <v>14035</v>
      </c>
      <c r="E38" s="111">
        <f t="shared" si="10"/>
        <v>16936.7</v>
      </c>
      <c r="F38" s="111">
        <f t="shared" si="10"/>
        <v>0</v>
      </c>
      <c r="G38" s="111">
        <f t="shared" si="10"/>
        <v>0</v>
      </c>
      <c r="H38" s="111">
        <f t="shared" si="10"/>
        <v>0</v>
      </c>
      <c r="I38" s="111">
        <f t="shared" si="10"/>
        <v>0</v>
      </c>
      <c r="J38" s="111">
        <f t="shared" si="10"/>
        <v>0</v>
      </c>
      <c r="K38" s="111">
        <f t="shared" si="10"/>
        <v>0</v>
      </c>
    </row>
    <row r="39" spans="1:12" ht="15">
      <c r="A39" s="106" t="s">
        <v>128</v>
      </c>
      <c r="B39" s="108">
        <f>B38/B28</f>
        <v>69.547706568643122</v>
      </c>
      <c r="C39" s="108" t="e">
        <f t="shared" ref="C39:K39" si="11">C38/C28</f>
        <v>#DIV/0!</v>
      </c>
      <c r="D39" s="108">
        <f t="shared" si="11"/>
        <v>46.055350228870644</v>
      </c>
      <c r="E39" s="108">
        <f t="shared" si="11"/>
        <v>55.577174935611936</v>
      </c>
      <c r="F39" s="108" t="e">
        <f t="shared" si="11"/>
        <v>#DIV/0!</v>
      </c>
      <c r="G39" s="108" t="e">
        <f t="shared" si="11"/>
        <v>#DIV/0!</v>
      </c>
      <c r="H39" s="108" t="e">
        <f t="shared" si="11"/>
        <v>#DIV/0!</v>
      </c>
      <c r="I39" s="108" t="e">
        <f t="shared" si="11"/>
        <v>#DIV/0!</v>
      </c>
      <c r="J39" s="108" t="e">
        <f t="shared" si="11"/>
        <v>#DIV/0!</v>
      </c>
      <c r="K39" s="108" t="e">
        <f t="shared" si="11"/>
        <v>#DIV/0!</v>
      </c>
    </row>
    <row r="40" spans="1:12" ht="15">
      <c r="A40" s="106" t="s">
        <v>127</v>
      </c>
      <c r="B40" s="110">
        <f>B8/B15</f>
        <v>-3.8583509513742068E-3</v>
      </c>
      <c r="C40" s="110" t="e">
        <f t="shared" ref="C40:K40" si="12">C8/C15</f>
        <v>#DIV/0!</v>
      </c>
      <c r="D40" s="110">
        <f>D8/D15</f>
        <v>0.10794442465265408</v>
      </c>
      <c r="E40" s="110">
        <f>E8/E15</f>
        <v>0.17207011991710311</v>
      </c>
      <c r="F40" s="110" t="e">
        <f t="shared" si="12"/>
        <v>#DIV/0!</v>
      </c>
      <c r="G40" s="110" t="e">
        <f t="shared" si="12"/>
        <v>#DIV/0!</v>
      </c>
      <c r="H40" s="110" t="e">
        <f t="shared" si="12"/>
        <v>#DIV/0!</v>
      </c>
      <c r="I40" s="110" t="e">
        <f t="shared" si="12"/>
        <v>#DIV/0!</v>
      </c>
      <c r="J40" s="110" t="e">
        <f t="shared" si="12"/>
        <v>#DIV/0!</v>
      </c>
      <c r="K40" s="110" t="e">
        <f t="shared" si="12"/>
        <v>#DIV/0!</v>
      </c>
    </row>
    <row r="41" spans="1:12" ht="15">
      <c r="A41" s="106" t="s">
        <v>126</v>
      </c>
      <c r="B41" s="110">
        <f>B5/(B15+B16)</f>
        <v>4.6046514928921719E-3</v>
      </c>
      <c r="C41" s="110" t="e">
        <f t="shared" ref="C41:K41" si="13">C5/(C15+C16)</f>
        <v>#DIV/0!</v>
      </c>
      <c r="D41" s="110">
        <f t="shared" si="13"/>
        <v>0.15005475871774659</v>
      </c>
      <c r="E41" s="110">
        <f t="shared" si="13"/>
        <v>0.18623582006960723</v>
      </c>
      <c r="F41" s="110" t="e">
        <f t="shared" si="13"/>
        <v>#DIV/0!</v>
      </c>
      <c r="G41" s="110" t="e">
        <f t="shared" si="13"/>
        <v>#DIV/0!</v>
      </c>
      <c r="H41" s="110" t="e">
        <f t="shared" si="13"/>
        <v>#DIV/0!</v>
      </c>
      <c r="I41" s="110" t="e">
        <f t="shared" si="13"/>
        <v>#DIV/0!</v>
      </c>
      <c r="J41" s="110" t="e">
        <f t="shared" si="13"/>
        <v>#DIV/0!</v>
      </c>
      <c r="K41" s="110" t="e">
        <f t="shared" si="13"/>
        <v>#DIV/0!</v>
      </c>
    </row>
    <row r="42" spans="1:12" ht="15">
      <c r="A42" s="106" t="s">
        <v>168</v>
      </c>
      <c r="B42" s="136">
        <v>0.05</v>
      </c>
      <c r="C42" s="111"/>
      <c r="D42" s="128"/>
      <c r="E42" s="128"/>
      <c r="F42" s="111"/>
      <c r="G42" s="111"/>
      <c r="H42" s="111"/>
      <c r="I42" s="111"/>
      <c r="J42" s="118"/>
      <c r="K42" s="118"/>
    </row>
    <row r="43" spans="1:12" ht="15">
      <c r="A43" s="106" t="s">
        <v>124</v>
      </c>
      <c r="B43" s="111">
        <v>479.01</v>
      </c>
      <c r="C43" s="111"/>
      <c r="D43" s="111">
        <v>57</v>
      </c>
      <c r="E43" s="111">
        <v>56</v>
      </c>
      <c r="F43" s="111"/>
      <c r="G43" s="111"/>
      <c r="H43" s="111"/>
      <c r="I43" s="111"/>
      <c r="J43" s="111"/>
      <c r="K43" s="111"/>
      <c r="L43" s="102" t="s">
        <v>169</v>
      </c>
    </row>
    <row r="44" spans="1:12" ht="15">
      <c r="A44" s="106" t="s">
        <v>95</v>
      </c>
      <c r="B44" s="111">
        <v>1193.3499999999999</v>
      </c>
      <c r="C44" s="111"/>
      <c r="D44" s="111">
        <v>209</v>
      </c>
      <c r="E44" s="111">
        <v>196</v>
      </c>
      <c r="F44" s="111"/>
      <c r="G44" s="111"/>
      <c r="H44" s="111"/>
      <c r="I44" s="111"/>
      <c r="J44" s="111"/>
      <c r="K44" s="111"/>
      <c r="L44" s="102" t="s">
        <v>169</v>
      </c>
    </row>
    <row r="45" spans="1:12" ht="15">
      <c r="A45" s="106" t="s">
        <v>123</v>
      </c>
      <c r="B45" s="111">
        <v>182.53</v>
      </c>
      <c r="C45" s="111"/>
      <c r="D45" s="111">
        <v>75</v>
      </c>
      <c r="E45" s="111">
        <v>72</v>
      </c>
      <c r="F45" s="111"/>
      <c r="G45" s="111"/>
      <c r="H45" s="111"/>
      <c r="I45" s="111"/>
      <c r="J45" s="111"/>
      <c r="K45" s="111"/>
      <c r="L45" s="102" t="s">
        <v>169</v>
      </c>
    </row>
    <row r="46" spans="1:12" ht="15">
      <c r="A46" s="106" t="s">
        <v>122</v>
      </c>
      <c r="B46" s="111">
        <f>B43+B44-B45</f>
        <v>1489.83</v>
      </c>
      <c r="C46" s="111">
        <f t="shared" ref="C46:K46" si="14">C43+C44-C45</f>
        <v>0</v>
      </c>
      <c r="D46" s="111">
        <f t="shared" si="14"/>
        <v>191</v>
      </c>
      <c r="E46" s="111">
        <f t="shared" si="14"/>
        <v>180</v>
      </c>
      <c r="F46" s="111">
        <f t="shared" si="14"/>
        <v>0</v>
      </c>
      <c r="G46" s="111">
        <f t="shared" si="14"/>
        <v>0</v>
      </c>
      <c r="H46" s="111">
        <f t="shared" si="14"/>
        <v>0</v>
      </c>
      <c r="I46" s="111">
        <f t="shared" si="14"/>
        <v>0</v>
      </c>
      <c r="J46" s="111">
        <f t="shared" si="14"/>
        <v>0</v>
      </c>
      <c r="K46" s="111">
        <f t="shared" si="14"/>
        <v>0</v>
      </c>
    </row>
    <row r="47" spans="1:12" ht="15">
      <c r="A47" s="106" t="s">
        <v>121</v>
      </c>
      <c r="B47" s="108">
        <f>B16/B25</f>
        <v>0.58807359800739023</v>
      </c>
      <c r="C47" s="108" t="e">
        <f t="shared" ref="C47:K47" si="15">C16/C25</f>
        <v>#DIV/0!</v>
      </c>
      <c r="D47" s="108">
        <f t="shared" si="15"/>
        <v>0.48241489446153163</v>
      </c>
      <c r="E47" s="108">
        <f t="shared" si="15"/>
        <v>8.940709111380836E-2</v>
      </c>
      <c r="F47" s="108" t="e">
        <f t="shared" si="15"/>
        <v>#DIV/0!</v>
      </c>
      <c r="G47" s="108" t="e">
        <f t="shared" si="15"/>
        <v>#DIV/0!</v>
      </c>
      <c r="H47" s="108" t="e">
        <f t="shared" si="15"/>
        <v>#DIV/0!</v>
      </c>
      <c r="I47" s="108" t="e">
        <f t="shared" si="15"/>
        <v>#DIV/0!</v>
      </c>
      <c r="J47" s="108" t="e">
        <f t="shared" si="15"/>
        <v>#DIV/0!</v>
      </c>
      <c r="K47" s="108" t="e">
        <f t="shared" si="15"/>
        <v>#DIV/0!</v>
      </c>
    </row>
    <row r="48" spans="1:12" ht="15">
      <c r="A48" s="106" t="s">
        <v>120</v>
      </c>
      <c r="B48" s="108">
        <f>(B16-B19)/B25</f>
        <v>0.57639050820458126</v>
      </c>
      <c r="C48" s="108" t="e">
        <f t="shared" ref="C48:K48" si="16">(C16-C19)/C25</f>
        <v>#DIV/0!</v>
      </c>
      <c r="D48" s="108">
        <f t="shared" si="16"/>
        <v>0.36456968268075801</v>
      </c>
      <c r="E48" s="108">
        <f t="shared" si="16"/>
        <v>4.9229282445408099E-2</v>
      </c>
      <c r="F48" s="108" t="e">
        <f t="shared" si="16"/>
        <v>#DIV/0!</v>
      </c>
      <c r="G48" s="108" t="e">
        <f t="shared" si="16"/>
        <v>#DIV/0!</v>
      </c>
      <c r="H48" s="108" t="e">
        <f t="shared" si="16"/>
        <v>#DIV/0!</v>
      </c>
      <c r="I48" s="108" t="e">
        <f t="shared" si="16"/>
        <v>#DIV/0!</v>
      </c>
      <c r="J48" s="108" t="e">
        <f t="shared" si="16"/>
        <v>#DIV/0!</v>
      </c>
      <c r="K48" s="108" t="e">
        <f t="shared" si="16"/>
        <v>#DIV/0!</v>
      </c>
    </row>
    <row r="49" spans="1:11" ht="15">
      <c r="A49" s="106" t="s">
        <v>116</v>
      </c>
      <c r="B49" s="108">
        <f>B5/B20</f>
        <v>0.95215732315820367</v>
      </c>
      <c r="C49" s="108" t="e">
        <f t="shared" ref="C49:K49" si="17">C5/C20</f>
        <v>#DIV/0!</v>
      </c>
      <c r="D49" s="108">
        <f t="shared" si="17"/>
        <v>4.9845342706502631</v>
      </c>
      <c r="E49" s="108">
        <f t="shared" si="17"/>
        <v>9.0360339142722559</v>
      </c>
      <c r="F49" s="108" t="e">
        <f t="shared" si="17"/>
        <v>#DIV/0!</v>
      </c>
      <c r="G49" s="108" t="e">
        <f t="shared" si="17"/>
        <v>#DIV/0!</v>
      </c>
      <c r="H49" s="108" t="e">
        <f t="shared" si="17"/>
        <v>#DIV/0!</v>
      </c>
      <c r="I49" s="108" t="e">
        <f t="shared" si="17"/>
        <v>#DIV/0!</v>
      </c>
      <c r="J49" s="108" t="e">
        <f t="shared" si="17"/>
        <v>#DIV/0!</v>
      </c>
      <c r="K49" s="108" t="e">
        <f t="shared" si="17"/>
        <v>#DIV/0!</v>
      </c>
    </row>
    <row r="50" spans="1:11" ht="15.75" thickBot="1">
      <c r="A50" s="129" t="s">
        <v>119</v>
      </c>
      <c r="B50" s="108">
        <f>B20/B16</f>
        <v>1.264920455178303E-2</v>
      </c>
      <c r="C50" s="108" t="e">
        <f t="shared" ref="C50:K50" si="18">C20/C16</f>
        <v>#DIV/0!</v>
      </c>
      <c r="D50" s="108">
        <f t="shared" si="18"/>
        <v>0.11693142352191693</v>
      </c>
      <c r="E50" s="108">
        <f t="shared" si="18"/>
        <v>0.11586530589968891</v>
      </c>
      <c r="F50" s="108" t="e">
        <f t="shared" si="18"/>
        <v>#DIV/0!</v>
      </c>
      <c r="G50" s="108" t="e">
        <f t="shared" si="18"/>
        <v>#DIV/0!</v>
      </c>
      <c r="H50" s="108" t="e">
        <f t="shared" si="18"/>
        <v>#DIV/0!</v>
      </c>
      <c r="I50" s="108" t="e">
        <f t="shared" si="18"/>
        <v>#DIV/0!</v>
      </c>
      <c r="J50" s="108" t="e">
        <f t="shared" si="18"/>
        <v>#DIV/0!</v>
      </c>
      <c r="K50" s="108" t="e">
        <f t="shared" si="18"/>
        <v>#DIV/0!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Peer Analysis</vt:lpstr>
      <vt:lpstr>Consol</vt:lpstr>
      <vt:lpstr>Peer Sheet</vt:lpstr>
      <vt:lpstr>Consol!Print_Area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2021-05-19T08:13:17Z</cp:lastPrinted>
  <dcterms:created xsi:type="dcterms:W3CDTF">2021-01-27T07:46:46Z</dcterms:created>
  <dcterms:modified xsi:type="dcterms:W3CDTF">2023-06-16T12:10:23Z</dcterms:modified>
</cp:coreProperties>
</file>