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v8\Desktop\E2E\"/>
    </mc:Choice>
  </mc:AlternateContent>
  <xr:revisionPtr revIDLastSave="0" documentId="8_{2F098FE6-813D-4442-9D0A-350AF789C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luding Other Income" sheetId="1" r:id="rId1"/>
    <sheet name="Sheet1" sheetId="2" r:id="rId2"/>
  </sheets>
  <calcPr calcId="181029"/>
  <extLst>
    <ext uri="GoogleSheetsCustomDataVersion1">
      <go:sheetsCustomData xmlns:go="http://customooxmlschemas.google.com/" r:id="" roundtripDataSignature="AMtx7miA9iMpr0O4RBHoSxm/VZlezsmqFg=="/>
    </ext>
  </extLst>
</workbook>
</file>

<file path=xl/calcChain.xml><?xml version="1.0" encoding="utf-8"?>
<calcChain xmlns="http://schemas.openxmlformats.org/spreadsheetml/2006/main">
  <c r="K6" i="1" l="1"/>
  <c r="K5" i="1"/>
  <c r="K56" i="1"/>
  <c r="K54" i="1"/>
  <c r="X61" i="1"/>
  <c r="X60" i="1"/>
  <c r="X59" i="1"/>
  <c r="X58" i="1"/>
  <c r="X56" i="1"/>
  <c r="X55" i="1"/>
  <c r="X53" i="1"/>
  <c r="X52" i="1"/>
  <c r="X51" i="1"/>
  <c r="X50" i="1"/>
  <c r="X40" i="1"/>
  <c r="X39" i="1"/>
  <c r="X29" i="1"/>
  <c r="X35" i="1"/>
  <c r="X22" i="1"/>
  <c r="X30" i="1"/>
  <c r="X25" i="1"/>
  <c r="X13" i="1"/>
  <c r="K43" i="1"/>
  <c r="K39" i="1"/>
  <c r="K35" i="1"/>
  <c r="K31" i="1"/>
  <c r="K30" i="1"/>
  <c r="K28" i="1"/>
  <c r="K27" i="1"/>
  <c r="K25" i="1"/>
  <c r="K20" i="1"/>
  <c r="K22" i="1"/>
  <c r="K19" i="1"/>
  <c r="K13" i="1"/>
  <c r="K14" i="1"/>
  <c r="J13" i="1"/>
  <c r="K12" i="1"/>
  <c r="K7" i="1"/>
  <c r="K11" i="1"/>
  <c r="X44" i="1" l="1"/>
  <c r="X47" i="1" s="1"/>
  <c r="X48" i="1"/>
  <c r="W44" i="1"/>
  <c r="J53" i="1"/>
  <c r="J54" i="1" s="1"/>
  <c r="U56" i="1"/>
  <c r="T56" i="1"/>
  <c r="S56" i="1"/>
  <c r="R56" i="1"/>
  <c r="Q56" i="1"/>
  <c r="P56" i="1"/>
  <c r="H56" i="1"/>
  <c r="G56" i="1"/>
  <c r="W55" i="1"/>
  <c r="V55" i="1"/>
  <c r="U55" i="1"/>
  <c r="T55" i="1"/>
  <c r="T58" i="1" s="1"/>
  <c r="S55" i="1"/>
  <c r="R55" i="1"/>
  <c r="Q55" i="1"/>
  <c r="P55" i="1"/>
  <c r="H55" i="1"/>
  <c r="I53" i="1"/>
  <c r="I54" i="1" s="1"/>
  <c r="H53" i="1"/>
  <c r="H54" i="1" s="1"/>
  <c r="H57" i="1" s="1"/>
  <c r="G53" i="1"/>
  <c r="G54" i="1" s="1"/>
  <c r="F53" i="1"/>
  <c r="E53" i="1"/>
  <c r="D53" i="1"/>
  <c r="C53" i="1"/>
  <c r="B53" i="1"/>
  <c r="E49" i="1"/>
  <c r="D49" i="1"/>
  <c r="F47" i="1"/>
  <c r="E47" i="1"/>
  <c r="E46" i="1"/>
  <c r="W47" i="1"/>
  <c r="V44" i="1"/>
  <c r="U44" i="1"/>
  <c r="T44" i="1"/>
  <c r="T47" i="1" s="1"/>
  <c r="S44" i="1"/>
  <c r="R44" i="1"/>
  <c r="Q44" i="1"/>
  <c r="P44" i="1"/>
  <c r="O44" i="1"/>
  <c r="K44" i="1"/>
  <c r="J44" i="1"/>
  <c r="I44" i="1"/>
  <c r="H44" i="1"/>
  <c r="G44" i="1"/>
  <c r="F44" i="1"/>
  <c r="E44" i="1"/>
  <c r="D44" i="1"/>
  <c r="C44" i="1"/>
  <c r="B44" i="1"/>
  <c r="J39" i="1"/>
  <c r="I39" i="1"/>
  <c r="I40" i="1" s="1"/>
  <c r="J35" i="1" s="1"/>
  <c r="J40" i="1" s="1"/>
  <c r="K40" i="1" s="1"/>
  <c r="H39" i="1"/>
  <c r="G39" i="1"/>
  <c r="F39" i="1"/>
  <c r="E39" i="1"/>
  <c r="D39" i="1"/>
  <c r="C39" i="1"/>
  <c r="B39" i="1"/>
  <c r="B40" i="1" s="1"/>
  <c r="C35" i="1" s="1"/>
  <c r="J31" i="1"/>
  <c r="I31" i="1"/>
  <c r="H31" i="1"/>
  <c r="G31" i="1"/>
  <c r="V30" i="1"/>
  <c r="W56" i="1" s="1"/>
  <c r="J30" i="1"/>
  <c r="I30" i="1"/>
  <c r="H30" i="1"/>
  <c r="G30" i="1"/>
  <c r="F30" i="1"/>
  <c r="E30" i="1"/>
  <c r="D30" i="1"/>
  <c r="C30" i="1"/>
  <c r="W29" i="1"/>
  <c r="U29" i="1"/>
  <c r="T29" i="1"/>
  <c r="S29" i="1"/>
  <c r="R29" i="1"/>
  <c r="Q29" i="1"/>
  <c r="P29" i="1"/>
  <c r="O29" i="1"/>
  <c r="W25" i="1"/>
  <c r="J56" i="1" s="1"/>
  <c r="V25" i="1"/>
  <c r="I56" i="1" s="1"/>
  <c r="J25" i="1"/>
  <c r="W22" i="1"/>
  <c r="V22" i="1"/>
  <c r="U22" i="1"/>
  <c r="T22" i="1"/>
  <c r="T35" i="1" s="1"/>
  <c r="S22" i="1"/>
  <c r="R22" i="1"/>
  <c r="Q22" i="1"/>
  <c r="Q35" i="1" s="1"/>
  <c r="P22" i="1"/>
  <c r="P35" i="1" s="1"/>
  <c r="O22" i="1"/>
  <c r="O35" i="1" s="1"/>
  <c r="G20" i="1"/>
  <c r="F20" i="1"/>
  <c r="E20" i="1"/>
  <c r="D20" i="1"/>
  <c r="C20" i="1"/>
  <c r="B20" i="1"/>
  <c r="V16" i="1"/>
  <c r="V13" i="1" s="1"/>
  <c r="V39" i="1" s="1"/>
  <c r="X11" i="1"/>
  <c r="W13" i="1"/>
  <c r="W39" i="1" s="1"/>
  <c r="U13" i="1"/>
  <c r="U39" i="1" s="1"/>
  <c r="U11" i="1" s="1"/>
  <c r="T13" i="1"/>
  <c r="T39" i="1" s="1"/>
  <c r="T11" i="1" s="1"/>
  <c r="S13" i="1"/>
  <c r="S39" i="1" s="1"/>
  <c r="S11" i="1" s="1"/>
  <c r="R13" i="1"/>
  <c r="R39" i="1" s="1"/>
  <c r="R11" i="1" s="1"/>
  <c r="Q13" i="1"/>
  <c r="Q39" i="1" s="1"/>
  <c r="Q11" i="1" s="1"/>
  <c r="P13" i="1"/>
  <c r="P39" i="1" s="1"/>
  <c r="P11" i="1" s="1"/>
  <c r="O13" i="1"/>
  <c r="O39" i="1" s="1"/>
  <c r="O11" i="1" s="1"/>
  <c r="H10" i="1"/>
  <c r="G10" i="1"/>
  <c r="F10" i="1"/>
  <c r="X9" i="1"/>
  <c r="K55" i="1" s="1"/>
  <c r="V9" i="1"/>
  <c r="T9" i="1"/>
  <c r="G55" i="1" s="1"/>
  <c r="S9" i="1"/>
  <c r="R9" i="1"/>
  <c r="Q9" i="1"/>
  <c r="P9" i="1"/>
  <c r="O9" i="1"/>
  <c r="W8" i="1"/>
  <c r="W7" i="1"/>
  <c r="J7" i="1"/>
  <c r="J11" i="1" s="1"/>
  <c r="W61" i="1" s="1"/>
  <c r="I7" i="1"/>
  <c r="I11" i="1" s="1"/>
  <c r="H7" i="1"/>
  <c r="H11" i="1" s="1"/>
  <c r="G7" i="1"/>
  <c r="G11" i="1" s="1"/>
  <c r="F7" i="1"/>
  <c r="F11" i="1" s="1"/>
  <c r="E7" i="1"/>
  <c r="E11" i="1" s="1"/>
  <c r="D7" i="1"/>
  <c r="D11" i="1" s="1"/>
  <c r="C7" i="1"/>
  <c r="C11" i="1" s="1"/>
  <c r="B7" i="1"/>
  <c r="B11" i="1" s="1"/>
  <c r="O61" i="1" s="1"/>
  <c r="X6" i="1"/>
  <c r="X10" i="1" s="1"/>
  <c r="W6" i="1"/>
  <c r="W45" i="1" s="1"/>
  <c r="W48" i="1" s="1"/>
  <c r="V6" i="1"/>
  <c r="V45" i="1" s="1"/>
  <c r="V48" i="1" s="1"/>
  <c r="T6" i="1"/>
  <c r="T45" i="1" s="1"/>
  <c r="T48" i="1" s="1"/>
  <c r="S6" i="1"/>
  <c r="S45" i="1" s="1"/>
  <c r="R6" i="1"/>
  <c r="R45" i="1" s="1"/>
  <c r="Q6" i="1"/>
  <c r="Q45" i="1" s="1"/>
  <c r="P6" i="1"/>
  <c r="P45" i="1" s="1"/>
  <c r="O6" i="1"/>
  <c r="O45" i="1" s="1"/>
  <c r="J6" i="1"/>
  <c r="I6" i="1"/>
  <c r="H6" i="1"/>
  <c r="G6" i="1"/>
  <c r="U5" i="1"/>
  <c r="U6" i="1" s="1"/>
  <c r="J5" i="1"/>
  <c r="I5" i="1"/>
  <c r="H5" i="1"/>
  <c r="G5" i="1"/>
  <c r="F5" i="1"/>
  <c r="E5" i="1"/>
  <c r="D5" i="1"/>
  <c r="C5" i="1"/>
  <c r="W9" i="1" l="1"/>
  <c r="C40" i="1"/>
  <c r="D35" i="1" s="1"/>
  <c r="D40" i="1" s="1"/>
  <c r="E35" i="1" s="1"/>
  <c r="E40" i="1" s="1"/>
  <c r="F35" i="1" s="1"/>
  <c r="F40" i="1" s="1"/>
  <c r="G35" i="1" s="1"/>
  <c r="G40" i="1" s="1"/>
  <c r="H35" i="1" s="1"/>
  <c r="H40" i="1" s="1"/>
  <c r="Q58" i="1"/>
  <c r="S58" i="1"/>
  <c r="U58" i="1"/>
  <c r="C12" i="1"/>
  <c r="V61" i="1"/>
  <c r="I14" i="1"/>
  <c r="P10" i="1"/>
  <c r="R10" i="1"/>
  <c r="W11" i="1"/>
  <c r="W35" i="1"/>
  <c r="P40" i="1"/>
  <c r="R40" i="1"/>
  <c r="T40" i="1"/>
  <c r="X45" i="1"/>
  <c r="G57" i="1"/>
  <c r="V53" i="1"/>
  <c r="Q10" i="1"/>
  <c r="O40" i="1"/>
  <c r="Q40" i="1"/>
  <c r="S40" i="1"/>
  <c r="P58" i="1"/>
  <c r="R58" i="1"/>
  <c r="S61" i="1"/>
  <c r="F19" i="1"/>
  <c r="F12" i="1"/>
  <c r="F14" i="1"/>
  <c r="U40" i="1"/>
  <c r="W60" i="1"/>
  <c r="W52" i="1"/>
  <c r="J55" i="1"/>
  <c r="J57" i="1" s="1"/>
  <c r="W49" i="1" s="1"/>
  <c r="W53" i="1"/>
  <c r="E14" i="1"/>
  <c r="R61" i="1"/>
  <c r="E19" i="1"/>
  <c r="E12" i="1"/>
  <c r="W40" i="1"/>
  <c r="H13" i="1"/>
  <c r="H19" i="1"/>
  <c r="H12" i="1"/>
  <c r="U61" i="1"/>
  <c r="U49" i="1"/>
  <c r="H14" i="1"/>
  <c r="E21" i="1"/>
  <c r="K57" i="1"/>
  <c r="X49" i="1" s="1"/>
  <c r="Q61" i="1"/>
  <c r="D19" i="1"/>
  <c r="D14" i="1"/>
  <c r="D12" i="1"/>
  <c r="W58" i="1"/>
  <c r="U10" i="1"/>
  <c r="U45" i="1"/>
  <c r="U48" i="1" s="1"/>
  <c r="G13" i="1"/>
  <c r="G19" i="1"/>
  <c r="T61" i="1"/>
  <c r="G12" i="1"/>
  <c r="G14" i="1"/>
  <c r="D21" i="1"/>
  <c r="T49" i="1"/>
  <c r="P59" i="1"/>
  <c r="Q59" i="1"/>
  <c r="T10" i="1"/>
  <c r="I19" i="1"/>
  <c r="V10" i="1"/>
  <c r="I13" i="1"/>
  <c r="C19" i="1"/>
  <c r="C21" i="1" s="1"/>
  <c r="I55" i="1"/>
  <c r="I57" i="1" s="1"/>
  <c r="V49" i="1" s="1"/>
  <c r="P61" i="1"/>
  <c r="B14" i="1"/>
  <c r="S10" i="1"/>
  <c r="O10" i="1"/>
  <c r="W10" i="1"/>
  <c r="J14" i="1"/>
  <c r="R35" i="1"/>
  <c r="S35" i="1"/>
  <c r="T59" i="1" s="1"/>
  <c r="V52" i="1"/>
  <c r="U35" i="1"/>
  <c r="U59" i="1" s="1"/>
  <c r="V60" i="1"/>
  <c r="V56" i="1"/>
  <c r="V58" i="1" s="1"/>
  <c r="J12" i="1"/>
  <c r="C14" i="1"/>
  <c r="B19" i="1"/>
  <c r="J19" i="1"/>
  <c r="V29" i="1"/>
  <c r="V40" i="1" s="1"/>
  <c r="S59" i="1" l="1"/>
  <c r="J21" i="1"/>
  <c r="W51" i="1"/>
  <c r="J43" i="1"/>
  <c r="J48" i="1" s="1"/>
  <c r="J50" i="1" s="1"/>
  <c r="J22" i="1"/>
  <c r="R51" i="1"/>
  <c r="E22" i="1"/>
  <c r="E43" i="1"/>
  <c r="V11" i="1"/>
  <c r="G21" i="1"/>
  <c r="G43" i="1"/>
  <c r="G48" i="1" s="1"/>
  <c r="G50" i="1" s="1"/>
  <c r="G22" i="1"/>
  <c r="T51" i="1"/>
  <c r="S51" i="1"/>
  <c r="F43" i="1"/>
  <c r="F48" i="1" s="1"/>
  <c r="F50" i="1" s="1"/>
  <c r="F21" i="1"/>
  <c r="F22" i="1"/>
  <c r="I21" i="1"/>
  <c r="V51" i="1"/>
  <c r="I43" i="1"/>
  <c r="I48" i="1" s="1"/>
  <c r="I50" i="1" s="1"/>
  <c r="I22" i="1"/>
  <c r="K48" i="1"/>
  <c r="K50" i="1" s="1"/>
  <c r="K21" i="1"/>
  <c r="P51" i="1"/>
  <c r="C43" i="1"/>
  <c r="C22" i="1"/>
  <c r="Q51" i="1"/>
  <c r="D43" i="1"/>
  <c r="D22" i="1"/>
  <c r="H43" i="1"/>
  <c r="H48" i="1" s="1"/>
  <c r="H50" i="1" s="1"/>
  <c r="H22" i="1"/>
  <c r="H21" i="1"/>
  <c r="U51" i="1"/>
  <c r="B21" i="1"/>
  <c r="O51" i="1"/>
  <c r="B43" i="1"/>
  <c r="B22" i="1"/>
  <c r="V35" i="1"/>
  <c r="W59" i="1" s="1"/>
  <c r="V59" i="1"/>
  <c r="R59" i="1"/>
  <c r="H24" i="1" l="1"/>
  <c r="U50" i="1"/>
  <c r="H26" i="1"/>
  <c r="E45" i="1"/>
  <c r="E48" i="1" s="1"/>
  <c r="E50" i="1" s="1"/>
  <c r="S50" i="1"/>
  <c r="F24" i="1"/>
  <c r="F26" i="1"/>
  <c r="K26" i="1"/>
  <c r="K24" i="1"/>
  <c r="R50" i="1"/>
  <c r="E26" i="1"/>
  <c r="E24" i="1"/>
  <c r="O50" i="1"/>
  <c r="B26" i="1"/>
  <c r="B24" i="1"/>
  <c r="I24" i="1"/>
  <c r="V50" i="1"/>
  <c r="I26" i="1"/>
  <c r="J24" i="1"/>
  <c r="W50" i="1"/>
  <c r="J26" i="1"/>
  <c r="T50" i="1"/>
  <c r="G26" i="1"/>
  <c r="G24" i="1"/>
  <c r="C45" i="1"/>
  <c r="C48" i="1"/>
  <c r="C50" i="1" s="1"/>
  <c r="D24" i="1"/>
  <c r="D26" i="1"/>
  <c r="Q50" i="1"/>
  <c r="B45" i="1"/>
  <c r="B48" i="1" s="1"/>
  <c r="B50" i="1" s="1"/>
  <c r="D45" i="1"/>
  <c r="D48" i="1" s="1"/>
  <c r="D50" i="1" s="1"/>
  <c r="C24" i="1"/>
  <c r="P50" i="1"/>
  <c r="C26" i="1"/>
  <c r="D27" i="1" l="1"/>
  <c r="F27" i="1"/>
  <c r="G28" i="1"/>
  <c r="G27" i="1"/>
  <c r="C27" i="1"/>
  <c r="E27" i="1"/>
  <c r="I27" i="1"/>
  <c r="I28" i="1"/>
  <c r="H27" i="1"/>
  <c r="H28" i="1"/>
  <c r="J28" i="1"/>
  <c r="J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ID#AAAApin80ME
Note    (2023-02-07 11:47:59)
Legal, Rental, Other</t>
        </r>
      </text>
    </comment>
    <comment ref="S43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ID#AAAApin80MI
Note    (2023-02-07 11:47:59)
IP Listing May 2018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j7QlSn46JafA6nc6PaTbbyA91EA=="/>
    </ext>
  </extLst>
</comments>
</file>

<file path=xl/sharedStrings.xml><?xml version="1.0" encoding="utf-8"?>
<sst xmlns="http://schemas.openxmlformats.org/spreadsheetml/2006/main" count="228" uniqueCount="117">
  <si>
    <t>E2E  Networks Ltd.</t>
  </si>
  <si>
    <t>Income Statement</t>
  </si>
  <si>
    <t>Balance Sheet</t>
  </si>
  <si>
    <t>Y/E, Mar (Rs. mn)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</si>
  <si>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</si>
  <si>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</si>
  <si>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</si>
  <si>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</si>
  <si>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</si>
  <si>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</si>
  <si>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</si>
  <si>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</si>
  <si>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</si>
  <si>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Net Income</t>
  </si>
  <si>
    <t>Share Capital</t>
  </si>
  <si>
    <t>Growth (%)</t>
  </si>
  <si>
    <t>Reserves &amp; Surplus</t>
  </si>
  <si>
    <t>CAGR (%) - 3 Years</t>
  </si>
  <si>
    <t>Networth/Shareholders Fund/ Book Value</t>
  </si>
  <si>
    <t>Expenditure</t>
  </si>
  <si>
    <t>Long Term Debt</t>
  </si>
  <si>
    <t>Purchase of service and consumables</t>
  </si>
  <si>
    <t>Short Term Debt</t>
  </si>
  <si>
    <t>Employee Benefit Expense</t>
  </si>
  <si>
    <t>Loans</t>
  </si>
  <si>
    <t>Other Expenses</t>
  </si>
  <si>
    <t>Capital Employed</t>
  </si>
  <si>
    <t>EBITDA</t>
  </si>
  <si>
    <t>NA</t>
  </si>
  <si>
    <t>Gross Block</t>
  </si>
  <si>
    <t>NON CURRENT ASSETS</t>
  </si>
  <si>
    <t>EBITDA margin (%)</t>
  </si>
  <si>
    <t>Property, Plant &amp; Equipment</t>
  </si>
  <si>
    <t>Other Income</t>
  </si>
  <si>
    <t>Right to use asset</t>
  </si>
  <si>
    <t>Depreciation</t>
  </si>
  <si>
    <t>Intangible Assets</t>
  </si>
  <si>
    <t>Finance Cost</t>
  </si>
  <si>
    <t>Financial Asset</t>
  </si>
  <si>
    <t>Excp Item</t>
  </si>
  <si>
    <t>-</t>
  </si>
  <si>
    <t>Intangible Assets Under Development</t>
  </si>
  <si>
    <t>PBT</t>
  </si>
  <si>
    <t>Long Term Loans and Advances</t>
  </si>
  <si>
    <t>Tax</t>
  </si>
  <si>
    <t>Other Non-current Assets</t>
  </si>
  <si>
    <t>Effective tax rate (%)</t>
  </si>
  <si>
    <t>Non-Current Tax Assets (Net)</t>
  </si>
  <si>
    <t>PAT</t>
  </si>
  <si>
    <t>CURRENT ASSETS</t>
  </si>
  <si>
    <t>Current Investments</t>
  </si>
  <si>
    <t>PAT margin (%)</t>
  </si>
  <si>
    <t>Trade Receivables</t>
  </si>
  <si>
    <t>Other Comprehensive Income</t>
  </si>
  <si>
    <t>Cash &amp; Bank Balances</t>
  </si>
  <si>
    <t>PAT After MI</t>
  </si>
  <si>
    <t>Short Term Loans &amp; Advances</t>
  </si>
  <si>
    <t>Other Current Assets</t>
  </si>
  <si>
    <t>Other Financial Assets</t>
  </si>
  <si>
    <t>EPS</t>
  </si>
  <si>
    <t>CURRENT LIABILITIES &amp; PROVISIONS</t>
  </si>
  <si>
    <t>Trade Payables</t>
  </si>
  <si>
    <t>Other Financial Liabilities</t>
  </si>
  <si>
    <t>Other current liabilities</t>
  </si>
  <si>
    <t>Cash Flow</t>
  </si>
  <si>
    <t>Provisions</t>
  </si>
  <si>
    <t>Lease Liability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</si>
  <si>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</si>
  <si>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</si>
  <si>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</si>
  <si>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</si>
  <si>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</si>
  <si>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Long term Provisions</t>
  </si>
  <si>
    <t>Cash Flow From Financing Activities</t>
  </si>
  <si>
    <t>Long term Lease Liability</t>
  </si>
  <si>
    <t>Net Inc./(Dec.) in Cash and Cash Equivalent</t>
  </si>
  <si>
    <t>TOTAL ASSETS</t>
  </si>
  <si>
    <t>Cash and Cash Equivalents at End of the year</t>
  </si>
  <si>
    <t>TOTAL LIABILITIES</t>
  </si>
  <si>
    <t>Key ratios</t>
  </si>
  <si>
    <t>Our Calculations</t>
  </si>
  <si>
    <t xml:space="preserve">Y/E, Mar </t>
  </si>
  <si>
    <t xml:space="preserve"> FY20</t>
  </si>
  <si>
    <t xml:space="preserve">Pre-Tax Profit </t>
  </si>
  <si>
    <t>CMP</t>
  </si>
  <si>
    <t xml:space="preserve">Depreciation </t>
  </si>
  <si>
    <t>EPS (Rs)</t>
  </si>
  <si>
    <t xml:space="preserve">Other Adjustments </t>
  </si>
  <si>
    <t>BVPS (Rs)</t>
  </si>
  <si>
    <t xml:space="preserve">Change in Working capital </t>
  </si>
  <si>
    <t>DPS (Rs)</t>
  </si>
  <si>
    <t xml:space="preserve">Taxes Paid </t>
  </si>
  <si>
    <t>P/E (x)</t>
  </si>
  <si>
    <t xml:space="preserve">Operating Cash Inflow </t>
  </si>
  <si>
    <t>P/BV (x)</t>
  </si>
  <si>
    <t>Capital Expenditure</t>
  </si>
  <si>
    <t>EV/EBIDTA (x)</t>
  </si>
  <si>
    <t>FCF</t>
  </si>
  <si>
    <t>RoE (%)</t>
  </si>
  <si>
    <t xml:space="preserve"> </t>
  </si>
  <si>
    <t>RoCE (%)</t>
  </si>
  <si>
    <t>Gross D/E(x)</t>
  </si>
  <si>
    <t>No. of Shares</t>
  </si>
  <si>
    <t>Net D/E (x)</t>
  </si>
  <si>
    <t>Market Cap</t>
  </si>
  <si>
    <t>Dividend Yield</t>
  </si>
  <si>
    <t>Total Debt</t>
  </si>
  <si>
    <t>Debtor Days</t>
  </si>
  <si>
    <t>Cash</t>
  </si>
  <si>
    <t>Creditor Days</t>
  </si>
  <si>
    <t>EV</t>
  </si>
  <si>
    <t>Inventory Days</t>
  </si>
  <si>
    <t>Cash Conversion Cycle</t>
  </si>
  <si>
    <t>Working Capital Cycle</t>
  </si>
  <si>
    <t>Interest Cost</t>
  </si>
  <si>
    <t>Interest Coverage Ratio</t>
  </si>
  <si>
    <t>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</si>
</sst>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  <numFmt numFmtId="167" formatCode="_ * #,##0_ ;_ * \-#,##0_ ;_ * &quot;-&quot;??_ ;_ @_ "/>
  </numFmts>
  <fonts count="10">
    <font>
      <sz val="11"/>
      <color theme="1"/>
      <name val="Calibri"/>
      <scheme val="minor"/>
    </font>
    <font>
      <b/>
      <sz val="8"/>
      <color theme="1"/>
      <name val="Arial"/>
    </font>
    <font>
      <sz val="11"/>
      <name val="Calibri"/>
    </font>
    <font>
      <sz val="8"/>
      <color theme="1"/>
      <name val="Arial"/>
    </font>
    <font>
      <b/>
      <u/>
      <sz val="8"/>
      <color theme="1"/>
      <name val="Arial"/>
    </font>
    <font>
      <b/>
      <u/>
      <sz val="8"/>
      <color theme="1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8"/>
      <color rgb="FF4A4A4A"/>
      <name val="Arial"/>
    </font>
    <font>
      <b/>
      <sz val="8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theme="2"/>
        <bgColor rgb="FFF8F8F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/>
    <xf numFmtId="165" fontId="1" fillId="0" borderId="7" xfId="0" applyNumberFormat="1" applyFont="1" applyBorder="1"/>
    <xf numFmtId="10" fontId="3" fillId="0" borderId="0" xfId="0" applyNumberFormat="1" applyFont="1"/>
    <xf numFmtId="0" fontId="3" fillId="0" borderId="6" xfId="0" applyFont="1" applyBorder="1"/>
    <xf numFmtId="165" fontId="3" fillId="0" borderId="6" xfId="0" applyNumberFormat="1" applyFont="1" applyBorder="1"/>
    <xf numFmtId="0" fontId="6" fillId="0" borderId="6" xfId="0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2" fontId="3" fillId="0" borderId="0" xfId="0" applyNumberFormat="1" applyFont="1"/>
    <xf numFmtId="164" fontId="3" fillId="0" borderId="6" xfId="0" applyNumberFormat="1" applyFont="1" applyBorder="1"/>
    <xf numFmtId="164" fontId="3" fillId="0" borderId="7" xfId="0" applyNumberFormat="1" applyFont="1" applyBorder="1"/>
    <xf numFmtId="166" fontId="6" fillId="0" borderId="6" xfId="0" applyNumberFormat="1" applyFont="1" applyBorder="1" applyAlignment="1">
      <alignment horizontal="right"/>
    </xf>
    <xf numFmtId="43" fontId="3" fillId="0" borderId="6" xfId="0" applyNumberFormat="1" applyFont="1" applyBorder="1"/>
    <xf numFmtId="10" fontId="1" fillId="0" borderId="6" xfId="0" applyNumberFormat="1" applyFont="1" applyBorder="1"/>
    <xf numFmtId="10" fontId="1" fillId="0" borderId="7" xfId="0" applyNumberFormat="1" applyFont="1" applyBorder="1"/>
    <xf numFmtId="165" fontId="3" fillId="0" borderId="7" xfId="0" applyNumberFormat="1" applyFont="1" applyBorder="1"/>
    <xf numFmtId="165" fontId="3" fillId="0" borderId="6" xfId="0" applyNumberFormat="1" applyFont="1" applyBorder="1" applyAlignment="1">
      <alignment horizontal="right"/>
    </xf>
    <xf numFmtId="10" fontId="6" fillId="0" borderId="6" xfId="0" applyNumberFormat="1" applyFont="1" applyBorder="1"/>
    <xf numFmtId="10" fontId="6" fillId="0" borderId="7" xfId="0" applyNumberFormat="1" applyFont="1" applyBorder="1"/>
    <xf numFmtId="164" fontId="1" fillId="0" borderId="0" xfId="0" applyNumberFormat="1" applyFont="1"/>
    <xf numFmtId="43" fontId="1" fillId="0" borderId="6" xfId="0" applyNumberFormat="1" applyFont="1" applyBorder="1"/>
    <xf numFmtId="43" fontId="1" fillId="0" borderId="7" xfId="0" applyNumberFormat="1" applyFont="1" applyBorder="1"/>
    <xf numFmtId="43" fontId="1" fillId="0" borderId="6" xfId="0" applyNumberFormat="1" applyFont="1" applyBorder="1" applyAlignment="1">
      <alignment horizontal="right"/>
    </xf>
    <xf numFmtId="166" fontId="3" fillId="0" borderId="6" xfId="0" applyNumberFormat="1" applyFont="1" applyBorder="1"/>
    <xf numFmtId="164" fontId="1" fillId="0" borderId="6" xfId="0" applyNumberFormat="1" applyFont="1" applyBorder="1"/>
    <xf numFmtId="164" fontId="3" fillId="0" borderId="0" xfId="0" applyNumberFormat="1" applyFont="1"/>
    <xf numFmtId="43" fontId="3" fillId="0" borderId="6" xfId="0" applyNumberFormat="1" applyFont="1" applyBorder="1" applyAlignment="1">
      <alignment horizontal="right"/>
    </xf>
    <xf numFmtId="166" fontId="1" fillId="0" borderId="6" xfId="0" applyNumberFormat="1" applyFont="1" applyBorder="1"/>
    <xf numFmtId="10" fontId="3" fillId="0" borderId="6" xfId="0" applyNumberFormat="1" applyFont="1" applyBorder="1"/>
    <xf numFmtId="167" fontId="3" fillId="0" borderId="6" xfId="0" applyNumberFormat="1" applyFont="1" applyBorder="1"/>
    <xf numFmtId="167" fontId="3" fillId="0" borderId="0" xfId="0" applyNumberFormat="1" applyFont="1"/>
    <xf numFmtId="43" fontId="3" fillId="0" borderId="6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165" fontId="3" fillId="3" borderId="9" xfId="0" applyNumberFormat="1" applyFont="1" applyFill="1" applyBorder="1"/>
    <xf numFmtId="165" fontId="3" fillId="0" borderId="0" xfId="0" applyNumberFormat="1" applyFont="1"/>
    <xf numFmtId="0" fontId="9" fillId="0" borderId="0" xfId="0" applyFont="1"/>
    <xf numFmtId="1" fontId="9" fillId="0" borderId="0" xfId="0" applyNumberFormat="1" applyFont="1"/>
    <xf numFmtId="43" fontId="3" fillId="0" borderId="0" xfId="0" applyNumberFormat="1" applyFont="1"/>
    <xf numFmtId="0" fontId="3" fillId="0" borderId="6" xfId="0" applyFont="1" applyBorder="1" applyAlignment="1">
      <alignment horizontal="right"/>
    </xf>
    <xf numFmtId="43" fontId="3" fillId="0" borderId="9" xfId="0" applyNumberFormat="1" applyFont="1" applyBorder="1"/>
    <xf numFmtId="164" fontId="8" fillId="4" borderId="9" xfId="0" applyNumberFormat="1" applyFont="1" applyFill="1" applyBorder="1" applyAlignment="1">
      <alignment horizontal="right"/>
    </xf>
    <xf numFmtId="165" fontId="1" fillId="0" borderId="10" xfId="0" applyNumberFormat="1" applyFont="1" applyBorder="1"/>
    <xf numFmtId="164" fontId="3" fillId="0" borderId="12" xfId="0" applyNumberFormat="1" applyFont="1" applyBorder="1" applyAlignment="1">
      <alignment horizontal="right"/>
    </xf>
    <xf numFmtId="10" fontId="6" fillId="0" borderId="11" xfId="0" applyNumberFormat="1" applyFont="1" applyBorder="1"/>
    <xf numFmtId="165" fontId="1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6" fontId="6" fillId="0" borderId="10" xfId="0" applyNumberFormat="1" applyFont="1" applyBorder="1"/>
    <xf numFmtId="164" fontId="3" fillId="0" borderId="11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0" fontId="7" fillId="0" borderId="10" xfId="0" applyFont="1" applyBorder="1"/>
    <xf numFmtId="10" fontId="1" fillId="0" borderId="10" xfId="0" applyNumberFormat="1" applyFont="1" applyBorder="1"/>
    <xf numFmtId="10" fontId="1" fillId="0" borderId="11" xfId="0" applyNumberFormat="1" applyFont="1" applyBorder="1"/>
    <xf numFmtId="2" fontId="1" fillId="0" borderId="10" xfId="0" applyNumberFormat="1" applyFont="1" applyBorder="1" applyAlignment="1">
      <alignment horizontal="right"/>
    </xf>
    <xf numFmtId="43" fontId="1" fillId="0" borderId="10" xfId="0" applyNumberFormat="1" applyFont="1" applyBorder="1" applyAlignment="1">
      <alignment horizontal="right"/>
    </xf>
    <xf numFmtId="165" fontId="1" fillId="5" borderId="6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0" fontId="5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0" xfId="0"/>
    <xf numFmtId="0" fontId="3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1000"/>
  <sheetViews>
    <sheetView tabSelected="1" topLeftCell="K28" workbookViewId="0">
      <selection activeCell="AA37" sqref="AA37"/>
    </sheetView>
  </sheetViews>
  <sheetFormatPr defaultColWidth="14.42578125" defaultRowHeight="15" customHeight="1"/>
  <cols>
    <col min="1" max="1" width="39.140625" customWidth="1"/>
    <col min="2" max="4" width="9" hidden="1" customWidth="1"/>
    <col min="5" max="11" width="10" customWidth="1"/>
    <col min="12" max="12" width="4.5703125" customWidth="1"/>
    <col min="13" max="13" width="3.85546875" customWidth="1"/>
    <col min="14" max="14" width="35.42578125" customWidth="1"/>
    <col min="15" max="17" width="9.140625" hidden="1" customWidth="1"/>
    <col min="18" max="19" width="9.140625" customWidth="1"/>
    <col min="20" max="21" width="9.5703125" customWidth="1"/>
    <col min="22" max="23" width="9.140625" customWidth="1"/>
    <col min="24" max="24" width="9.42578125" customWidth="1"/>
    <col min="25" max="26" width="9.140625" customWidth="1"/>
  </cols>
  <sheetData>
    <row r="1" spans="1:26" ht="1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6"/>
      <c r="Y1" s="1"/>
      <c r="Z1" s="1"/>
    </row>
    <row r="2" spans="1:26" ht="15" customHeight="1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2"/>
      <c r="M2" s="2"/>
      <c r="N2" s="69" t="s">
        <v>2</v>
      </c>
      <c r="O2" s="68"/>
      <c r="P2" s="68"/>
      <c r="Q2" s="68"/>
      <c r="R2" s="68"/>
      <c r="S2" s="68"/>
      <c r="T2" s="68"/>
      <c r="U2" s="68"/>
      <c r="V2" s="68"/>
      <c r="W2" s="68"/>
      <c r="X2" s="1"/>
      <c r="Y2" s="1"/>
      <c r="Z2" s="1"/>
    </row>
    <row r="3" spans="1:26" ht="15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3" t="s">
        <v>116</v>
      </c>
      <c r="L3" s="2"/>
      <c r="M3" s="2"/>
      <c r="N3" s="3" t="s">
        <v>3</v>
      </c>
      <c r="O3" s="4" t="s">
        <v>4</v>
      </c>
      <c r="P3" s="4" t="s">
        <v>5</v>
      </c>
      <c r="Q3" s="4" t="s">
        <v>6</v>
      </c>
      <c r="R3" s="4" t="s">
        <v>7</v>
      </c>
      <c r="S3" s="6" t="s">
        <v>8</v>
      </c>
      <c r="T3" s="7" t="s">
        <v>9</v>
      </c>
      <c r="U3" s="7" t="s">
        <v>10</v>
      </c>
      <c r="V3" s="7" t="s">
        <v>11</v>
      </c>
      <c r="W3" s="7" t="s">
        <v>12</v>
      </c>
      <c r="X3" s="4" t="s">
        <v>116</v>
      </c>
      <c r="Y3" s="1"/>
      <c r="Z3" s="1"/>
    </row>
    <row r="4" spans="1:26" ht="15" customHeight="1">
      <c r="A4" s="3" t="s">
        <v>13</v>
      </c>
      <c r="B4" s="8">
        <v>51.576999999999998</v>
      </c>
      <c r="C4" s="8">
        <v>98.960999999999999</v>
      </c>
      <c r="D4" s="8">
        <v>213.87700000000001</v>
      </c>
      <c r="E4" s="8">
        <v>293.16800000000001</v>
      </c>
      <c r="F4" s="8">
        <v>360.37400000000002</v>
      </c>
      <c r="G4" s="8">
        <v>337.54</v>
      </c>
      <c r="H4" s="8">
        <v>250.96100000000001</v>
      </c>
      <c r="I4" s="8">
        <v>353.02600000000001</v>
      </c>
      <c r="J4" s="9">
        <v>518.73400000000004</v>
      </c>
      <c r="K4" s="54">
        <v>662.01800000000003</v>
      </c>
      <c r="L4" s="10"/>
      <c r="M4" s="10"/>
      <c r="N4" s="11" t="s">
        <v>14</v>
      </c>
      <c r="O4" s="12">
        <v>3.157</v>
      </c>
      <c r="P4" s="12">
        <v>3.694</v>
      </c>
      <c r="Q4" s="12">
        <v>3.7080000000000002</v>
      </c>
      <c r="R4" s="12">
        <v>3.7080000000000002</v>
      </c>
      <c r="S4" s="12">
        <v>114.95099999999999</v>
      </c>
      <c r="T4" s="12">
        <v>142.911</v>
      </c>
      <c r="U4" s="12">
        <v>142.911</v>
      </c>
      <c r="V4" s="12">
        <v>144.291</v>
      </c>
      <c r="W4" s="12">
        <v>144.751</v>
      </c>
      <c r="X4" s="11">
        <v>144.751</v>
      </c>
      <c r="Y4" s="1"/>
      <c r="Z4" s="1"/>
    </row>
    <row r="5" spans="1:26" ht="15" customHeight="1">
      <c r="A5" s="13" t="s">
        <v>15</v>
      </c>
      <c r="B5" s="14"/>
      <c r="C5" s="14">
        <f t="shared" ref="C5:J5" si="0">(C4/B4-1)</f>
        <v>0.91870407352114314</v>
      </c>
      <c r="D5" s="14">
        <f t="shared" si="0"/>
        <v>1.1612251290912581</v>
      </c>
      <c r="E5" s="14">
        <f t="shared" si="0"/>
        <v>0.37073177574026195</v>
      </c>
      <c r="F5" s="14">
        <f t="shared" si="0"/>
        <v>0.22924057195874048</v>
      </c>
      <c r="G5" s="14">
        <f t="shared" si="0"/>
        <v>-6.3361951750126266E-2</v>
      </c>
      <c r="H5" s="14">
        <f t="shared" si="0"/>
        <v>-0.25649997037388161</v>
      </c>
      <c r="I5" s="14">
        <f t="shared" si="0"/>
        <v>0.40669665804646926</v>
      </c>
      <c r="J5" s="15">
        <f t="shared" si="0"/>
        <v>0.46939318917020278</v>
      </c>
      <c r="K5" s="55">
        <f>(K4/J4-1)</f>
        <v>0.27621863999660712</v>
      </c>
      <c r="L5" s="1"/>
      <c r="M5" s="1"/>
      <c r="N5" s="11" t="s">
        <v>16</v>
      </c>
      <c r="O5" s="12">
        <v>14.086</v>
      </c>
      <c r="P5" s="12">
        <v>42.076000000000001</v>
      </c>
      <c r="Q5" s="12">
        <v>69.876000000000005</v>
      </c>
      <c r="R5" s="12">
        <v>114.574</v>
      </c>
      <c r="S5" s="12">
        <v>55.145000000000003</v>
      </c>
      <c r="T5" s="12">
        <v>192.411</v>
      </c>
      <c r="U5" s="12">
        <f>100.413+0.457</f>
        <v>100.86999999999999</v>
      </c>
      <c r="V5" s="12">
        <v>129.803</v>
      </c>
      <c r="W5" s="12">
        <v>239.83600000000001</v>
      </c>
      <c r="X5" s="11">
        <v>349.25</v>
      </c>
      <c r="Y5" s="1"/>
      <c r="Z5" s="1"/>
    </row>
    <row r="6" spans="1:26" ht="15" customHeight="1">
      <c r="A6" s="13" t="s">
        <v>17</v>
      </c>
      <c r="B6" s="14"/>
      <c r="C6" s="14"/>
      <c r="D6" s="14"/>
      <c r="E6" s="14"/>
      <c r="F6" s="14"/>
      <c r="G6" s="14">
        <f t="shared" ref="G6:K6" si="1">+((G4/D4)^(1/3)-1)</f>
        <v>0.16427003681482089</v>
      </c>
      <c r="H6" s="14">
        <f t="shared" si="1"/>
        <v>-5.0496527600997987E-2</v>
      </c>
      <c r="I6" s="14">
        <f t="shared" si="1"/>
        <v>-6.8433675983575748E-3</v>
      </c>
      <c r="J6" s="15">
        <f t="shared" si="1"/>
        <v>0.15400180856163637</v>
      </c>
      <c r="K6" s="55">
        <f>+((K4/H4)^(1/3)-1)</f>
        <v>0.38172363744379356</v>
      </c>
      <c r="L6" s="16"/>
      <c r="M6" s="1"/>
      <c r="N6" s="3" t="s">
        <v>18</v>
      </c>
      <c r="O6" s="8">
        <f t="shared" ref="O6:X6" si="2">(O4+O5)</f>
        <v>17.243000000000002</v>
      </c>
      <c r="P6" s="8">
        <f t="shared" si="2"/>
        <v>45.77</v>
      </c>
      <c r="Q6" s="8">
        <f t="shared" si="2"/>
        <v>73.584000000000003</v>
      </c>
      <c r="R6" s="8">
        <f t="shared" si="2"/>
        <v>118.282</v>
      </c>
      <c r="S6" s="8">
        <f t="shared" si="2"/>
        <v>170.096</v>
      </c>
      <c r="T6" s="8">
        <f t="shared" si="2"/>
        <v>335.322</v>
      </c>
      <c r="U6" s="8">
        <f t="shared" si="2"/>
        <v>243.78100000000001</v>
      </c>
      <c r="V6" s="8">
        <f t="shared" si="2"/>
        <v>274.09399999999999</v>
      </c>
      <c r="W6" s="8">
        <f t="shared" si="2"/>
        <v>384.58699999999999</v>
      </c>
      <c r="X6" s="8">
        <f t="shared" si="2"/>
        <v>494.00099999999998</v>
      </c>
      <c r="Y6" s="1"/>
      <c r="Z6" s="1"/>
    </row>
    <row r="7" spans="1:26" ht="15" customHeight="1">
      <c r="A7" s="3" t="s">
        <v>19</v>
      </c>
      <c r="B7" s="8">
        <f t="shared" ref="B7:J7" si="3">SUM(B8:B10)</f>
        <v>36.548000000000002</v>
      </c>
      <c r="C7" s="8">
        <f t="shared" si="3"/>
        <v>51.409000000000006</v>
      </c>
      <c r="D7" s="8">
        <f t="shared" si="3"/>
        <v>83.568000000000012</v>
      </c>
      <c r="E7" s="8">
        <f t="shared" si="3"/>
        <v>125.66699999999999</v>
      </c>
      <c r="F7" s="8">
        <f t="shared" si="3"/>
        <v>181.834</v>
      </c>
      <c r="G7" s="8">
        <f t="shared" si="3"/>
        <v>228.26300000000001</v>
      </c>
      <c r="H7" s="8">
        <f t="shared" si="3"/>
        <v>263.01499999999999</v>
      </c>
      <c r="I7" s="8">
        <f t="shared" si="3"/>
        <v>249.62200000000001</v>
      </c>
      <c r="J7" s="9">
        <f t="shared" si="3"/>
        <v>289.30100000000004</v>
      </c>
      <c r="K7" s="49">
        <f>SUM(K8:K10)</f>
        <v>331.39599999999996</v>
      </c>
      <c r="L7" s="1"/>
      <c r="M7" s="1"/>
      <c r="N7" s="11" t="s">
        <v>20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f>5.975</f>
        <v>5.9749999999999996</v>
      </c>
      <c r="X7" s="11">
        <v>2.1110000000000002</v>
      </c>
      <c r="Y7" s="1"/>
      <c r="Z7" s="1"/>
    </row>
    <row r="8" spans="1:26" ht="15" customHeight="1">
      <c r="A8" s="11" t="s">
        <v>21</v>
      </c>
      <c r="B8" s="17">
        <v>21.744</v>
      </c>
      <c r="C8" s="17">
        <v>30.597000000000001</v>
      </c>
      <c r="D8" s="17">
        <v>55.585999999999999</v>
      </c>
      <c r="E8" s="17">
        <v>80.153999999999996</v>
      </c>
      <c r="F8" s="17">
        <v>100.221</v>
      </c>
      <c r="G8" s="17">
        <v>107.751</v>
      </c>
      <c r="H8" s="17">
        <v>109.328</v>
      </c>
      <c r="I8" s="17">
        <v>127.30200000000001</v>
      </c>
      <c r="J8" s="18">
        <v>144.12100000000001</v>
      </c>
      <c r="K8" s="50">
        <v>172.04400000000001</v>
      </c>
      <c r="L8" s="1"/>
      <c r="M8" s="1"/>
      <c r="N8" s="11" t="s">
        <v>22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38.037999999999997</v>
      </c>
      <c r="W8" s="12">
        <f>3.434</f>
        <v>3.4340000000000002</v>
      </c>
      <c r="X8" s="11">
        <v>3.8650000000000002</v>
      </c>
      <c r="Y8" s="1"/>
      <c r="Z8" s="1"/>
    </row>
    <row r="9" spans="1:26" ht="15" customHeight="1">
      <c r="A9" s="11" t="s">
        <v>23</v>
      </c>
      <c r="B9" s="17">
        <v>9.1720000000000006</v>
      </c>
      <c r="C9" s="17">
        <v>14.676</v>
      </c>
      <c r="D9" s="17">
        <v>21.463000000000001</v>
      </c>
      <c r="E9" s="17">
        <v>33.826000000000001</v>
      </c>
      <c r="F9" s="17">
        <v>63.564999999999998</v>
      </c>
      <c r="G9" s="17">
        <v>83.677999999999997</v>
      </c>
      <c r="H9" s="17">
        <v>105.166</v>
      </c>
      <c r="I9" s="17">
        <v>87.021000000000001</v>
      </c>
      <c r="J9" s="18">
        <v>101.54600000000001</v>
      </c>
      <c r="K9" s="56">
        <v>121.06699999999999</v>
      </c>
      <c r="L9" s="1"/>
      <c r="M9" s="1"/>
      <c r="N9" s="3" t="s">
        <v>24</v>
      </c>
      <c r="O9" s="8">
        <f t="shared" ref="O9:T9" si="4">(O7+O8)</f>
        <v>0</v>
      </c>
      <c r="P9" s="8">
        <f t="shared" si="4"/>
        <v>0</v>
      </c>
      <c r="Q9" s="8">
        <f t="shared" si="4"/>
        <v>0</v>
      </c>
      <c r="R9" s="8">
        <f t="shared" si="4"/>
        <v>0</v>
      </c>
      <c r="S9" s="8">
        <f t="shared" si="4"/>
        <v>0</v>
      </c>
      <c r="T9" s="8">
        <f t="shared" si="4"/>
        <v>0</v>
      </c>
      <c r="U9" s="8">
        <v>0</v>
      </c>
      <c r="V9" s="8">
        <f t="shared" ref="V9:X9" si="5">(V7+V8)</f>
        <v>38.037999999999997</v>
      </c>
      <c r="W9" s="8">
        <f t="shared" si="5"/>
        <v>9.4089999999999989</v>
      </c>
      <c r="X9" s="8">
        <f t="shared" si="5"/>
        <v>5.9760000000000009</v>
      </c>
      <c r="Y9" s="1"/>
      <c r="Z9" s="1"/>
    </row>
    <row r="10" spans="1:26" ht="15" customHeight="1">
      <c r="A10" s="11" t="s">
        <v>25</v>
      </c>
      <c r="B10" s="17">
        <v>5.6319999999999997</v>
      </c>
      <c r="C10" s="17">
        <v>6.1360000000000001</v>
      </c>
      <c r="D10" s="17">
        <v>6.5190000000000001</v>
      </c>
      <c r="E10" s="17">
        <v>11.686999999999999</v>
      </c>
      <c r="F10" s="17">
        <f>2.643+6.336+9.069</f>
        <v>18.048000000000002</v>
      </c>
      <c r="G10" s="17">
        <f>6.188+17.755+12.891</f>
        <v>36.833999999999996</v>
      </c>
      <c r="H10" s="17">
        <f>13.609+19.57+15.342</f>
        <v>48.521000000000001</v>
      </c>
      <c r="I10" s="17">
        <v>35.298999999999999</v>
      </c>
      <c r="J10" s="18">
        <v>43.634</v>
      </c>
      <c r="K10" s="58">
        <v>38.284999999999997</v>
      </c>
      <c r="L10" s="1"/>
      <c r="M10" s="1"/>
      <c r="N10" s="3" t="s">
        <v>26</v>
      </c>
      <c r="O10" s="8">
        <f t="shared" ref="O10:V10" si="6">(O6+O7+O37+O36)</f>
        <v>18.380000000000003</v>
      </c>
      <c r="P10" s="8">
        <f t="shared" si="6"/>
        <v>67.281000000000006</v>
      </c>
      <c r="Q10" s="8">
        <f t="shared" si="6"/>
        <v>100.801</v>
      </c>
      <c r="R10" s="8">
        <f t="shared" si="6"/>
        <v>133.351</v>
      </c>
      <c r="S10" s="8">
        <f t="shared" si="6"/>
        <v>174.12100000000001</v>
      </c>
      <c r="T10" s="8">
        <f t="shared" si="6"/>
        <v>343.15199999999999</v>
      </c>
      <c r="U10" s="8">
        <f t="shared" si="6"/>
        <v>251.29400000000001</v>
      </c>
      <c r="V10" s="8">
        <f t="shared" si="6"/>
        <v>281.51899999999995</v>
      </c>
      <c r="W10" s="8">
        <f t="shared" ref="W10:X10" si="7">(W6+W7+W37+W36+W38)</f>
        <v>410.952</v>
      </c>
      <c r="X10" s="8">
        <f t="shared" si="7"/>
        <v>543.32799999999997</v>
      </c>
      <c r="Y10" s="1"/>
      <c r="Z10" s="1"/>
    </row>
    <row r="11" spans="1:26" ht="15" customHeight="1">
      <c r="A11" s="3" t="s">
        <v>27</v>
      </c>
      <c r="B11" s="8">
        <f t="shared" ref="B11:K11" si="8">(B4-B7)</f>
        <v>15.028999999999996</v>
      </c>
      <c r="C11" s="8">
        <f t="shared" si="8"/>
        <v>47.551999999999992</v>
      </c>
      <c r="D11" s="8">
        <f t="shared" si="8"/>
        <v>130.309</v>
      </c>
      <c r="E11" s="8">
        <f t="shared" si="8"/>
        <v>167.50100000000003</v>
      </c>
      <c r="F11" s="8">
        <f t="shared" si="8"/>
        <v>178.54000000000002</v>
      </c>
      <c r="G11" s="8">
        <f t="shared" si="8"/>
        <v>109.27700000000002</v>
      </c>
      <c r="H11" s="8">
        <f t="shared" si="8"/>
        <v>-12.053999999999974</v>
      </c>
      <c r="I11" s="8">
        <f t="shared" si="8"/>
        <v>103.404</v>
      </c>
      <c r="J11" s="9">
        <f t="shared" si="8"/>
        <v>229.43299999999999</v>
      </c>
      <c r="K11" s="49">
        <f t="shared" si="8"/>
        <v>330.62200000000007</v>
      </c>
      <c r="L11" s="1"/>
      <c r="M11" s="1"/>
      <c r="N11" s="3" t="s">
        <v>26</v>
      </c>
      <c r="O11" s="8">
        <f t="shared" ref="O11:X11" si="9">O39-O29-O8</f>
        <v>18.381</v>
      </c>
      <c r="P11" s="8">
        <f t="shared" si="9"/>
        <v>67.283000000000001</v>
      </c>
      <c r="Q11" s="8">
        <f t="shared" si="9"/>
        <v>100.803</v>
      </c>
      <c r="R11" s="8">
        <f t="shared" si="9"/>
        <v>133.35199999999998</v>
      </c>
      <c r="S11" s="8">
        <f t="shared" si="9"/>
        <v>174.12</v>
      </c>
      <c r="T11" s="8">
        <f t="shared" si="9"/>
        <v>343.15200000000004</v>
      </c>
      <c r="U11" s="8">
        <f t="shared" si="9"/>
        <v>251.29400000000004</v>
      </c>
      <c r="V11" s="8">
        <f t="shared" si="9"/>
        <v>281.51899999999989</v>
      </c>
      <c r="W11" s="8">
        <f t="shared" si="9"/>
        <v>410.95199999999994</v>
      </c>
      <c r="X11" s="8">
        <f t="shared" si="9"/>
        <v>543.32799999999997</v>
      </c>
      <c r="Y11" s="1"/>
      <c r="Z11" s="1"/>
    </row>
    <row r="12" spans="1:26" ht="15" customHeight="1">
      <c r="A12" s="13" t="s">
        <v>15</v>
      </c>
      <c r="B12" s="14"/>
      <c r="C12" s="14">
        <f t="shared" ref="C12:H12" si="10">(C11/B11-1)</f>
        <v>2.1640162352784618</v>
      </c>
      <c r="D12" s="14">
        <f t="shared" si="10"/>
        <v>1.7403474091520863</v>
      </c>
      <c r="E12" s="14">
        <f t="shared" si="10"/>
        <v>0.28541390080500983</v>
      </c>
      <c r="F12" s="14">
        <f t="shared" si="10"/>
        <v>6.5904084154721376E-2</v>
      </c>
      <c r="G12" s="14">
        <f t="shared" si="10"/>
        <v>-0.38794107762966279</v>
      </c>
      <c r="H12" s="14">
        <f t="shared" si="10"/>
        <v>-1.1103068349240917</v>
      </c>
      <c r="I12" s="19" t="s">
        <v>28</v>
      </c>
      <c r="J12" s="15">
        <f>(J11/I11-1)</f>
        <v>1.2188019805810222</v>
      </c>
      <c r="K12" s="55">
        <f>(K11/J11-1)</f>
        <v>0.44103943199103912</v>
      </c>
      <c r="L12" s="1"/>
      <c r="M12" s="1"/>
      <c r="N12" s="3" t="s">
        <v>29</v>
      </c>
      <c r="O12" s="20" t="s">
        <v>28</v>
      </c>
      <c r="P12" s="20" t="s">
        <v>28</v>
      </c>
      <c r="Q12" s="20" t="s">
        <v>28</v>
      </c>
      <c r="R12" s="20" t="s">
        <v>28</v>
      </c>
      <c r="S12" s="20" t="s">
        <v>28</v>
      </c>
      <c r="T12" s="12">
        <v>503.31200000000001</v>
      </c>
      <c r="U12" s="12">
        <v>563.81700000000001</v>
      </c>
      <c r="V12" s="12">
        <v>733.33900000000006</v>
      </c>
      <c r="W12" s="12">
        <v>930</v>
      </c>
      <c r="X12" s="72"/>
      <c r="Y12" s="1"/>
      <c r="Z12" s="1"/>
    </row>
    <row r="13" spans="1:26" ht="15" customHeight="1">
      <c r="A13" s="13" t="s">
        <v>17</v>
      </c>
      <c r="B13" s="14"/>
      <c r="C13" s="14"/>
      <c r="D13" s="14"/>
      <c r="E13" s="14"/>
      <c r="F13" s="14"/>
      <c r="G13" s="14">
        <f t="shared" ref="G13:I13" si="11">+((G11/D11)^(1/3)-1)</f>
        <v>-5.6986050111447306E-2</v>
      </c>
      <c r="H13" s="14">
        <f t="shared" si="11"/>
        <v>-1.4159469342408721</v>
      </c>
      <c r="I13" s="14">
        <f t="shared" si="11"/>
        <v>-0.16644562327899837</v>
      </c>
      <c r="J13" s="15">
        <f>+((J11/G11)^(1/3)-1)</f>
        <v>0.28048857153647822</v>
      </c>
      <c r="K13" s="55">
        <f>+((K11/H11)^(1/3)-1)</f>
        <v>-4.0157836834984106</v>
      </c>
      <c r="L13" s="1"/>
      <c r="M13" s="1"/>
      <c r="N13" s="3" t="s">
        <v>30</v>
      </c>
      <c r="O13" s="8">
        <f t="shared" ref="O13:W13" si="12">SUM(O14:O21)</f>
        <v>19.5</v>
      </c>
      <c r="P13" s="8">
        <f t="shared" si="12"/>
        <v>69.831000000000003</v>
      </c>
      <c r="Q13" s="8">
        <f t="shared" si="12"/>
        <v>106.169</v>
      </c>
      <c r="R13" s="8">
        <f t="shared" si="12"/>
        <v>113.18</v>
      </c>
      <c r="S13" s="8">
        <f t="shared" si="12"/>
        <v>103.023</v>
      </c>
      <c r="T13" s="8">
        <f t="shared" si="12"/>
        <v>123.96600000000001</v>
      </c>
      <c r="U13" s="8">
        <f t="shared" si="12"/>
        <v>106.93300000000001</v>
      </c>
      <c r="V13" s="8">
        <f t="shared" si="12"/>
        <v>281.94499999999994</v>
      </c>
      <c r="W13" s="8">
        <f t="shared" si="12"/>
        <v>386.37700000000001</v>
      </c>
      <c r="X13" s="8">
        <f>SUM(X14:X21)</f>
        <v>422.73</v>
      </c>
      <c r="Y13" s="1"/>
      <c r="Z13" s="1"/>
    </row>
    <row r="14" spans="1:26" ht="15" customHeight="1">
      <c r="A14" s="3" t="s">
        <v>31</v>
      </c>
      <c r="B14" s="21">
        <f t="shared" ref="B14:J14" si="13">(B11/B4)</f>
        <v>0.29138957287162875</v>
      </c>
      <c r="C14" s="21">
        <f t="shared" si="13"/>
        <v>0.48051252513616466</v>
      </c>
      <c r="D14" s="21">
        <f t="shared" si="13"/>
        <v>0.60927074907540313</v>
      </c>
      <c r="E14" s="21">
        <f t="shared" si="13"/>
        <v>0.57134816896796381</v>
      </c>
      <c r="F14" s="21">
        <f t="shared" si="13"/>
        <v>0.49542974798403883</v>
      </c>
      <c r="G14" s="21">
        <f t="shared" si="13"/>
        <v>0.32374533388635424</v>
      </c>
      <c r="H14" s="21">
        <f t="shared" si="13"/>
        <v>-4.8031367423623482E-2</v>
      </c>
      <c r="I14" s="21">
        <f t="shared" si="13"/>
        <v>0.29290760453904241</v>
      </c>
      <c r="J14" s="22">
        <f t="shared" si="13"/>
        <v>0.44229412377056443</v>
      </c>
      <c r="K14" s="59">
        <f>(K11/K4)</f>
        <v>0.49941542374980752</v>
      </c>
      <c r="L14" s="1"/>
      <c r="M14" s="1"/>
      <c r="N14" s="11" t="s">
        <v>32</v>
      </c>
      <c r="O14" s="12">
        <v>19.03</v>
      </c>
      <c r="P14" s="12">
        <v>69.790000000000006</v>
      </c>
      <c r="Q14" s="12">
        <v>106.169</v>
      </c>
      <c r="R14" s="12">
        <v>112.26300000000001</v>
      </c>
      <c r="S14" s="12">
        <v>96.744</v>
      </c>
      <c r="T14" s="12">
        <v>112.753</v>
      </c>
      <c r="U14" s="12">
        <v>95.975999999999999</v>
      </c>
      <c r="V14" s="12">
        <v>198.76499999999999</v>
      </c>
      <c r="W14" s="12">
        <v>226.095</v>
      </c>
      <c r="X14" s="20">
        <v>229.441</v>
      </c>
      <c r="Y14" s="1"/>
      <c r="Z14" s="1"/>
    </row>
    <row r="15" spans="1:26" ht="15" customHeight="1">
      <c r="A15" s="11" t="s">
        <v>33</v>
      </c>
      <c r="B15" s="12">
        <v>0.36299999999999999</v>
      </c>
      <c r="C15" s="12">
        <v>0.31</v>
      </c>
      <c r="D15" s="12">
        <v>0.83699999999999997</v>
      </c>
      <c r="E15" s="12">
        <v>2.1190000000000002</v>
      </c>
      <c r="F15" s="12">
        <v>2.5920000000000001</v>
      </c>
      <c r="G15" s="12">
        <v>4.5069999999999997</v>
      </c>
      <c r="H15" s="12">
        <v>22.146999999999998</v>
      </c>
      <c r="I15" s="12">
        <v>9.5540000000000003</v>
      </c>
      <c r="J15" s="23">
        <v>3.5510000000000002</v>
      </c>
      <c r="K15" s="57">
        <v>7.601</v>
      </c>
      <c r="L15" s="1"/>
      <c r="M15" s="1"/>
      <c r="N15" s="11" t="s">
        <v>34</v>
      </c>
      <c r="O15" s="12"/>
      <c r="P15" s="12"/>
      <c r="Q15" s="12"/>
      <c r="R15" s="12"/>
      <c r="S15" s="12"/>
      <c r="T15" s="12"/>
      <c r="U15" s="12"/>
      <c r="V15" s="12"/>
      <c r="W15" s="12">
        <v>11.519</v>
      </c>
      <c r="X15" s="11">
        <v>55.484000000000002</v>
      </c>
      <c r="Y15" s="1"/>
      <c r="Z15" s="1"/>
    </row>
    <row r="16" spans="1:26" ht="15" customHeight="1">
      <c r="A16" s="11" t="s">
        <v>35</v>
      </c>
      <c r="B16" s="12">
        <v>11.023</v>
      </c>
      <c r="C16" s="12">
        <v>33.4</v>
      </c>
      <c r="D16" s="12">
        <v>89.873000000000005</v>
      </c>
      <c r="E16" s="12">
        <v>98.688000000000002</v>
      </c>
      <c r="F16" s="12">
        <v>97.415999999999997</v>
      </c>
      <c r="G16" s="12">
        <v>88.287000000000006</v>
      </c>
      <c r="H16" s="12">
        <v>101.40900000000001</v>
      </c>
      <c r="I16" s="12">
        <v>123.577</v>
      </c>
      <c r="J16" s="23">
        <v>178.26400000000001</v>
      </c>
      <c r="K16" s="24">
        <v>201.11500000000001</v>
      </c>
      <c r="L16" s="1"/>
      <c r="M16" s="1"/>
      <c r="N16" s="11" t="s">
        <v>36</v>
      </c>
      <c r="O16" s="12"/>
      <c r="P16" s="12"/>
      <c r="Q16" s="12"/>
      <c r="R16" s="12">
        <v>0</v>
      </c>
      <c r="S16" s="12">
        <v>0</v>
      </c>
      <c r="T16" s="12">
        <v>0</v>
      </c>
      <c r="U16" s="12">
        <v>3.6999999999999998E-2</v>
      </c>
      <c r="V16" s="12">
        <f>66.251</f>
        <v>66.251000000000005</v>
      </c>
      <c r="W16" s="12">
        <v>132.328</v>
      </c>
      <c r="X16" s="11">
        <v>135.107</v>
      </c>
      <c r="Y16" s="1"/>
      <c r="Z16" s="1"/>
    </row>
    <row r="17" spans="1:26" ht="15" customHeight="1">
      <c r="A17" s="11" t="s">
        <v>37</v>
      </c>
      <c r="B17" s="12">
        <v>0.11700000000000001</v>
      </c>
      <c r="C17" s="12">
        <v>1.222</v>
      </c>
      <c r="D17" s="12">
        <v>7.46</v>
      </c>
      <c r="E17" s="12">
        <v>6.6</v>
      </c>
      <c r="F17" s="12">
        <v>2.9910000000000001</v>
      </c>
      <c r="G17" s="12">
        <v>1.278</v>
      </c>
      <c r="H17" s="12">
        <v>1.8240000000000001</v>
      </c>
      <c r="I17" s="12">
        <v>1.792</v>
      </c>
      <c r="J17" s="23">
        <v>1.86</v>
      </c>
      <c r="K17" s="24">
        <v>4.7460000000000004</v>
      </c>
      <c r="L17" s="1"/>
      <c r="M17" s="1"/>
      <c r="N17" s="11" t="s">
        <v>38</v>
      </c>
      <c r="O17" s="12"/>
      <c r="P17" s="12"/>
      <c r="Q17" s="12"/>
      <c r="R17" s="12"/>
      <c r="S17" s="12"/>
      <c r="T17" s="12"/>
      <c r="U17" s="12"/>
      <c r="V17" s="12">
        <v>0.25</v>
      </c>
      <c r="W17" s="12">
        <v>0.14599999999999999</v>
      </c>
      <c r="X17" s="12">
        <v>0</v>
      </c>
      <c r="Y17" s="1"/>
      <c r="Z17" s="1"/>
    </row>
    <row r="18" spans="1:26" ht="15" customHeight="1">
      <c r="A18" s="11" t="s">
        <v>39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23">
        <v>0</v>
      </c>
      <c r="K18" s="24" t="s">
        <v>40</v>
      </c>
      <c r="L18" s="1"/>
      <c r="M18" s="1"/>
      <c r="N18" s="11" t="s">
        <v>41</v>
      </c>
      <c r="O18" s="12"/>
      <c r="P18" s="12"/>
      <c r="Q18" s="12"/>
      <c r="R18" s="12"/>
      <c r="S18" s="12">
        <v>0</v>
      </c>
      <c r="T18" s="12">
        <v>4.9000000000000002E-2</v>
      </c>
      <c r="U18" s="12">
        <v>4.9000000000000002E-2</v>
      </c>
      <c r="V18" s="12">
        <v>4.9000000000000002E-2</v>
      </c>
      <c r="W18" s="12">
        <v>0</v>
      </c>
      <c r="X18" s="12">
        <v>0</v>
      </c>
      <c r="Y18" s="1"/>
      <c r="Z18" s="1"/>
    </row>
    <row r="19" spans="1:26" ht="15" customHeight="1">
      <c r="A19" s="3" t="s">
        <v>42</v>
      </c>
      <c r="B19" s="8">
        <f t="shared" ref="B19:J19" si="14">(B11-B16-B17+B15-B18)</f>
        <v>4.2519999999999971</v>
      </c>
      <c r="C19" s="8">
        <f t="shared" si="14"/>
        <v>13.239999999999995</v>
      </c>
      <c r="D19" s="8">
        <f t="shared" si="14"/>
        <v>33.812999999999995</v>
      </c>
      <c r="E19" s="8">
        <f t="shared" si="14"/>
        <v>64.332000000000036</v>
      </c>
      <c r="F19" s="8">
        <f t="shared" si="14"/>
        <v>80.725000000000023</v>
      </c>
      <c r="G19" s="8">
        <f t="shared" si="14"/>
        <v>24.219000000000008</v>
      </c>
      <c r="H19" s="8">
        <f t="shared" si="14"/>
        <v>-93.139999999999986</v>
      </c>
      <c r="I19" s="8">
        <f t="shared" si="14"/>
        <v>-12.411000000000003</v>
      </c>
      <c r="J19" s="9">
        <f t="shared" si="14"/>
        <v>52.859999999999985</v>
      </c>
      <c r="K19" s="8">
        <f>(K11-K16-K17+K15)</f>
        <v>132.36200000000008</v>
      </c>
      <c r="L19" s="1"/>
      <c r="M19" s="1"/>
      <c r="N19" s="11" t="s">
        <v>43</v>
      </c>
      <c r="O19" s="12"/>
      <c r="P19" s="12"/>
      <c r="Q19" s="12"/>
      <c r="R19" s="12"/>
      <c r="S19" s="12">
        <v>0</v>
      </c>
      <c r="T19" s="12">
        <v>0.45</v>
      </c>
      <c r="U19" s="12">
        <v>0.15</v>
      </c>
      <c r="V19" s="12"/>
      <c r="W19" s="12">
        <v>0</v>
      </c>
      <c r="X19" s="12">
        <v>0</v>
      </c>
      <c r="Y19" s="1"/>
      <c r="Z19" s="1"/>
    </row>
    <row r="20" spans="1:26" ht="15" customHeight="1">
      <c r="A20" s="11" t="s">
        <v>44</v>
      </c>
      <c r="B20" s="12">
        <f>0.81+0.073+0.474</f>
        <v>1.357</v>
      </c>
      <c r="C20" s="12">
        <f>2.65+2.08</f>
        <v>4.7300000000000004</v>
      </c>
      <c r="D20" s="12">
        <f>7.718-1.708</f>
        <v>6.01</v>
      </c>
      <c r="E20" s="12">
        <f>21.97+0.09-2.428</f>
        <v>19.631999999999998</v>
      </c>
      <c r="F20" s="12">
        <f>34.109-10.98</f>
        <v>23.129000000000001</v>
      </c>
      <c r="G20" s="12">
        <f>11.306-4.42</f>
        <v>6.8859999999999992</v>
      </c>
      <c r="H20" s="12">
        <v>0.39400000000000002</v>
      </c>
      <c r="I20" s="12">
        <v>0</v>
      </c>
      <c r="J20" s="23">
        <v>-11.65</v>
      </c>
      <c r="K20" s="24">
        <f>31.48+1.783</f>
        <v>33.262999999999998</v>
      </c>
      <c r="L20" s="1"/>
      <c r="M20" s="1"/>
      <c r="N20" s="11" t="s">
        <v>45</v>
      </c>
      <c r="O20" s="12">
        <v>0.47</v>
      </c>
      <c r="P20" s="12">
        <v>4.1000000000000002E-2</v>
      </c>
      <c r="Q20" s="12"/>
      <c r="R20" s="12"/>
      <c r="S20" s="12">
        <v>0.109</v>
      </c>
      <c r="T20" s="12">
        <v>0.123</v>
      </c>
      <c r="U20" s="12">
        <v>0.13</v>
      </c>
      <c r="V20" s="12"/>
      <c r="W20" s="12">
        <v>5.8000000000000003E-2</v>
      </c>
      <c r="X20" s="12">
        <v>0</v>
      </c>
      <c r="Y20" s="1"/>
      <c r="Z20" s="1"/>
    </row>
    <row r="21" spans="1:26" ht="15" customHeight="1">
      <c r="A21" s="13" t="s">
        <v>46</v>
      </c>
      <c r="B21" s="25">
        <f t="shared" ref="B21:K21" si="15">(B20/B19)</f>
        <v>0.31914393226716858</v>
      </c>
      <c r="C21" s="25">
        <f t="shared" si="15"/>
        <v>0.35725075528700923</v>
      </c>
      <c r="D21" s="25">
        <f t="shared" si="15"/>
        <v>0.17774228846893209</v>
      </c>
      <c r="E21" s="25">
        <f t="shared" si="15"/>
        <v>0.30516694646521153</v>
      </c>
      <c r="F21" s="25">
        <f t="shared" si="15"/>
        <v>0.28651594921028178</v>
      </c>
      <c r="G21" s="25">
        <f t="shared" si="15"/>
        <v>0.28432222635121174</v>
      </c>
      <c r="H21" s="25">
        <f t="shared" si="15"/>
        <v>-4.2301911101567538E-3</v>
      </c>
      <c r="I21" s="25">
        <f t="shared" si="15"/>
        <v>0</v>
      </c>
      <c r="J21" s="26">
        <f t="shared" si="15"/>
        <v>-0.22039349224366259</v>
      </c>
      <c r="K21" s="51">
        <f t="shared" si="15"/>
        <v>0.25130324413351246</v>
      </c>
      <c r="L21" s="1"/>
      <c r="M21" s="1"/>
      <c r="N21" s="11" t="s">
        <v>47</v>
      </c>
      <c r="O21" s="12"/>
      <c r="P21" s="12"/>
      <c r="Q21" s="12"/>
      <c r="R21" s="12">
        <v>0.91700000000000004</v>
      </c>
      <c r="S21" s="12">
        <v>6.17</v>
      </c>
      <c r="T21" s="12">
        <v>10.590999999999999</v>
      </c>
      <c r="U21" s="12">
        <v>10.590999999999999</v>
      </c>
      <c r="V21" s="12">
        <v>16.63</v>
      </c>
      <c r="W21" s="12">
        <v>16.231000000000002</v>
      </c>
      <c r="X21" s="11">
        <v>2.698</v>
      </c>
      <c r="Y21" s="1"/>
      <c r="Z21" s="1"/>
    </row>
    <row r="22" spans="1:26" ht="15" customHeight="1">
      <c r="A22" s="3" t="s">
        <v>48</v>
      </c>
      <c r="B22" s="8">
        <f t="shared" ref="B22:J22" si="16">(B19-B20)</f>
        <v>2.8949999999999969</v>
      </c>
      <c r="C22" s="8">
        <f t="shared" si="16"/>
        <v>8.5099999999999945</v>
      </c>
      <c r="D22" s="8">
        <f t="shared" si="16"/>
        <v>27.802999999999997</v>
      </c>
      <c r="E22" s="8">
        <f t="shared" si="16"/>
        <v>44.700000000000038</v>
      </c>
      <c r="F22" s="8">
        <f t="shared" si="16"/>
        <v>57.596000000000018</v>
      </c>
      <c r="G22" s="8">
        <f t="shared" si="16"/>
        <v>17.333000000000009</v>
      </c>
      <c r="H22" s="8">
        <f t="shared" si="16"/>
        <v>-93.533999999999992</v>
      </c>
      <c r="I22" s="8">
        <f t="shared" si="16"/>
        <v>-12.411000000000003</v>
      </c>
      <c r="J22" s="9">
        <f t="shared" si="16"/>
        <v>64.509999999999991</v>
      </c>
      <c r="K22" s="49">
        <f>(K19-K20)</f>
        <v>99.099000000000075</v>
      </c>
      <c r="L22" s="1"/>
      <c r="M22" s="1"/>
      <c r="N22" s="3" t="s">
        <v>49</v>
      </c>
      <c r="O22" s="8">
        <f t="shared" ref="O22:U22" si="17">SUM(O23:O27)</f>
        <v>6.7669999999999995</v>
      </c>
      <c r="P22" s="8">
        <f t="shared" si="17"/>
        <v>10.813000000000001</v>
      </c>
      <c r="Q22" s="8">
        <f t="shared" si="17"/>
        <v>38.097999999999999</v>
      </c>
      <c r="R22" s="8">
        <f t="shared" si="17"/>
        <v>67.02</v>
      </c>
      <c r="S22" s="8">
        <f t="shared" si="17"/>
        <v>104.392</v>
      </c>
      <c r="T22" s="8">
        <f t="shared" si="17"/>
        <v>253.244</v>
      </c>
      <c r="U22" s="8">
        <f t="shared" si="17"/>
        <v>176.28900000000002</v>
      </c>
      <c r="V22" s="8">
        <f t="shared" ref="V22:W22" si="18">SUM(V23:V28)</f>
        <v>84.231999999999999</v>
      </c>
      <c r="W22" s="8">
        <f t="shared" si="18"/>
        <v>93.616</v>
      </c>
      <c r="X22" s="8">
        <f>SUM(X23:X28)</f>
        <v>261.34299999999996</v>
      </c>
      <c r="Y22" s="1"/>
      <c r="Z22" s="1"/>
    </row>
    <row r="23" spans="1:26" ht="15" customHeight="1">
      <c r="A23" s="3"/>
      <c r="B23" s="8"/>
      <c r="C23" s="8"/>
      <c r="D23" s="8"/>
      <c r="E23" s="8"/>
      <c r="F23" s="8"/>
      <c r="G23" s="8"/>
      <c r="H23" s="8"/>
      <c r="I23" s="8"/>
      <c r="J23" s="9"/>
      <c r="K23" s="52"/>
      <c r="L23" s="1"/>
      <c r="M23" s="1"/>
      <c r="N23" s="11" t="s">
        <v>50</v>
      </c>
      <c r="O23" s="12"/>
      <c r="P23" s="12"/>
      <c r="Q23" s="12"/>
      <c r="R23" s="12">
        <v>0</v>
      </c>
      <c r="S23" s="12">
        <v>39.994</v>
      </c>
      <c r="T23" s="12">
        <v>176.45599999999999</v>
      </c>
      <c r="U23" s="12">
        <v>0</v>
      </c>
      <c r="V23" s="12"/>
      <c r="W23" s="12"/>
      <c r="X23" s="11"/>
      <c r="Y23" s="1"/>
      <c r="Z23" s="1"/>
    </row>
    <row r="24" spans="1:26" ht="15" customHeight="1">
      <c r="A24" s="3" t="s">
        <v>51</v>
      </c>
      <c r="B24" s="21">
        <f t="shared" ref="B24:K24" si="19">B22/B4</f>
        <v>5.6129670201834091E-2</v>
      </c>
      <c r="C24" s="21">
        <f t="shared" si="19"/>
        <v>8.5993472175907623E-2</v>
      </c>
      <c r="D24" s="21">
        <f t="shared" si="19"/>
        <v>0.12999527765958938</v>
      </c>
      <c r="E24" s="21">
        <f t="shared" si="19"/>
        <v>0.1524723025705399</v>
      </c>
      <c r="F24" s="21">
        <f t="shared" si="19"/>
        <v>0.15982285070510086</v>
      </c>
      <c r="G24" s="21">
        <f t="shared" si="19"/>
        <v>5.1350950998400216E-2</v>
      </c>
      <c r="H24" s="21">
        <f t="shared" si="19"/>
        <v>-0.37270332840560877</v>
      </c>
      <c r="I24" s="21">
        <f t="shared" si="19"/>
        <v>-3.5156050829117408E-2</v>
      </c>
      <c r="J24" s="22">
        <f t="shared" si="19"/>
        <v>0.12436046220220766</v>
      </c>
      <c r="K24" s="60">
        <f t="shared" si="19"/>
        <v>0.14969230443885223</v>
      </c>
      <c r="L24" s="1"/>
      <c r="M24" s="1"/>
      <c r="N24" s="11" t="s">
        <v>52</v>
      </c>
      <c r="O24" s="12">
        <v>1.3109999999999999</v>
      </c>
      <c r="P24" s="12">
        <v>0.54200000000000004</v>
      </c>
      <c r="Q24" s="12">
        <v>11.08</v>
      </c>
      <c r="R24" s="12">
        <v>15.536</v>
      </c>
      <c r="S24" s="12">
        <v>27.934999999999999</v>
      </c>
      <c r="T24" s="12">
        <v>8.7409999999999997</v>
      </c>
      <c r="U24" s="12">
        <v>6.7889999999999997</v>
      </c>
      <c r="V24" s="12">
        <v>3.3780000000000001</v>
      </c>
      <c r="W24" s="12">
        <v>1.2390000000000001</v>
      </c>
      <c r="X24" s="11">
        <v>6.0449999999999999</v>
      </c>
      <c r="Y24" s="1"/>
      <c r="Z24" s="1"/>
    </row>
    <row r="25" spans="1:26" ht="15" customHeight="1">
      <c r="A25" s="11" t="s">
        <v>53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2">
        <v>12.6</v>
      </c>
      <c r="J25" s="27">
        <f>(65.198-16.409)</f>
        <v>48.788999999999994</v>
      </c>
      <c r="K25" s="61">
        <f>3.413-0.859</f>
        <v>2.5539999999999998</v>
      </c>
      <c r="L25" s="1"/>
      <c r="M25" s="1"/>
      <c r="N25" s="11" t="s">
        <v>54</v>
      </c>
      <c r="O25" s="12">
        <v>2.7959999999999998</v>
      </c>
      <c r="P25" s="12">
        <v>3.9140000000000001</v>
      </c>
      <c r="Q25" s="12">
        <v>7.7759999999999998</v>
      </c>
      <c r="R25" s="12">
        <v>25.030999999999999</v>
      </c>
      <c r="S25" s="12">
        <v>27.052</v>
      </c>
      <c r="T25" s="12">
        <v>37.484000000000002</v>
      </c>
      <c r="U25" s="12">
        <v>124.14100000000001</v>
      </c>
      <c r="V25" s="12">
        <f>6.91+45</f>
        <v>51.91</v>
      </c>
      <c r="W25" s="12">
        <f>38.434+29.524</f>
        <v>67.957999999999998</v>
      </c>
      <c r="X25" s="11">
        <f>163.131+52.529</f>
        <v>215.66</v>
      </c>
      <c r="Y25" s="1"/>
      <c r="Z25" s="1"/>
    </row>
    <row r="26" spans="1:26" ht="15" customHeight="1">
      <c r="A26" s="3" t="s">
        <v>55</v>
      </c>
      <c r="B26" s="8">
        <f t="shared" ref="B26:K26" si="20">(B22+B25)</f>
        <v>2.8949999999999969</v>
      </c>
      <c r="C26" s="8">
        <f t="shared" si="20"/>
        <v>8.5099999999999945</v>
      </c>
      <c r="D26" s="8">
        <f t="shared" si="20"/>
        <v>27.802999999999997</v>
      </c>
      <c r="E26" s="8">
        <f t="shared" si="20"/>
        <v>44.700000000000038</v>
      </c>
      <c r="F26" s="8">
        <f t="shared" si="20"/>
        <v>57.596000000000018</v>
      </c>
      <c r="G26" s="8">
        <f t="shared" si="20"/>
        <v>17.333000000000009</v>
      </c>
      <c r="H26" s="8">
        <f t="shared" si="20"/>
        <v>-93.533999999999992</v>
      </c>
      <c r="I26" s="8">
        <f t="shared" si="20"/>
        <v>0.1889999999999965</v>
      </c>
      <c r="J26" s="9">
        <f t="shared" si="20"/>
        <v>113.29899999999998</v>
      </c>
      <c r="K26" s="49">
        <f t="shared" si="20"/>
        <v>101.65300000000008</v>
      </c>
      <c r="L26" s="1"/>
      <c r="M26" s="1"/>
      <c r="N26" s="11" t="s">
        <v>56</v>
      </c>
      <c r="O26" s="12">
        <v>2.66</v>
      </c>
      <c r="P26" s="12">
        <v>6.3570000000000002</v>
      </c>
      <c r="Q26" s="12">
        <v>19.242000000000001</v>
      </c>
      <c r="R26" s="12">
        <v>26.452999999999999</v>
      </c>
      <c r="S26" s="12">
        <v>5.0490000000000004</v>
      </c>
      <c r="T26" s="12">
        <v>24.434000000000001</v>
      </c>
      <c r="U26" s="12">
        <v>33.284999999999997</v>
      </c>
      <c r="V26" s="12">
        <v>0</v>
      </c>
      <c r="W26" s="12">
        <v>0</v>
      </c>
      <c r="X26" s="12">
        <v>0</v>
      </c>
      <c r="Y26" s="1"/>
      <c r="Z26" s="1"/>
    </row>
    <row r="27" spans="1:26" ht="15" customHeight="1">
      <c r="A27" s="13" t="s">
        <v>15</v>
      </c>
      <c r="B27" s="14"/>
      <c r="C27" s="14">
        <f>-(C26/B26-1)</f>
        <v>-1.9395509499136456</v>
      </c>
      <c r="D27" s="14">
        <f t="shared" ref="D27:H27" si="21">(D26/C26-1)</f>
        <v>2.2670975323149256</v>
      </c>
      <c r="E27" s="14">
        <f t="shared" si="21"/>
        <v>0.60774017192389462</v>
      </c>
      <c r="F27" s="14">
        <f t="shared" si="21"/>
        <v>0.28850111856823202</v>
      </c>
      <c r="G27" s="14">
        <f t="shared" si="21"/>
        <v>-0.6990589624279463</v>
      </c>
      <c r="H27" s="14">
        <f t="shared" si="21"/>
        <v>-6.3962960826169697</v>
      </c>
      <c r="I27" s="14">
        <f>-(I26/H26-1)</f>
        <v>1.0020206555904805</v>
      </c>
      <c r="J27" s="15">
        <f>J26/I26-1</f>
        <v>598.46560846561943</v>
      </c>
      <c r="K27" s="55">
        <f>K26/J26-1</f>
        <v>-0.10278996284168351</v>
      </c>
      <c r="L27" s="1"/>
      <c r="M27" s="1"/>
      <c r="N27" s="11" t="s">
        <v>57</v>
      </c>
      <c r="O27" s="12"/>
      <c r="P27" s="12"/>
      <c r="Q27" s="12"/>
      <c r="R27" s="12">
        <v>0</v>
      </c>
      <c r="S27" s="12">
        <v>4.3620000000000001</v>
      </c>
      <c r="T27" s="12">
        <v>6.1289999999999996</v>
      </c>
      <c r="U27" s="12">
        <v>12.074</v>
      </c>
      <c r="V27" s="12">
        <v>11.209</v>
      </c>
      <c r="W27" s="12">
        <v>4.3479999999999999</v>
      </c>
      <c r="X27" s="11">
        <v>9.7479999999999993</v>
      </c>
      <c r="Y27" s="1"/>
      <c r="Z27" s="1"/>
    </row>
    <row r="28" spans="1:26" ht="15" customHeight="1">
      <c r="A28" s="13" t="s">
        <v>17</v>
      </c>
      <c r="B28" s="14"/>
      <c r="C28" s="14"/>
      <c r="D28" s="14"/>
      <c r="E28" s="14"/>
      <c r="F28" s="14"/>
      <c r="G28" s="14">
        <f t="shared" ref="G28:J28" si="22">+((G26/D26)^(1/3)-1)</f>
        <v>-0.14573222162644162</v>
      </c>
      <c r="H28" s="14">
        <f t="shared" si="22"/>
        <v>-2.2790494288262724</v>
      </c>
      <c r="I28" s="14">
        <f t="shared" si="22"/>
        <v>-0.85139851125201693</v>
      </c>
      <c r="J28" s="15">
        <f t="shared" si="22"/>
        <v>0.86975245974598603</v>
      </c>
      <c r="K28" s="55">
        <f>+((K26/H26)^(1/3)-1)</f>
        <v>-2.0281352063162066</v>
      </c>
      <c r="L28" s="1"/>
      <c r="M28" s="1"/>
      <c r="N28" s="11" t="s">
        <v>58</v>
      </c>
      <c r="O28" s="11"/>
      <c r="P28" s="11"/>
      <c r="Q28" s="11"/>
      <c r="R28" s="11"/>
      <c r="S28" s="17"/>
      <c r="T28" s="12"/>
      <c r="U28" s="12"/>
      <c r="V28" s="17">
        <v>17.734999999999999</v>
      </c>
      <c r="W28" s="17">
        <v>20.071000000000002</v>
      </c>
      <c r="X28" s="11">
        <v>29.89</v>
      </c>
      <c r="Y28" s="1"/>
      <c r="Z28" s="1"/>
    </row>
    <row r="29" spans="1:26" ht="15" customHeight="1">
      <c r="A29" s="3" t="s">
        <v>59</v>
      </c>
      <c r="B29" s="28">
        <v>10.76</v>
      </c>
      <c r="C29" s="28">
        <v>31.67</v>
      </c>
      <c r="D29" s="28">
        <v>102.95</v>
      </c>
      <c r="E29" s="28">
        <v>3.92</v>
      </c>
      <c r="F29" s="28">
        <v>5.03</v>
      </c>
      <c r="G29" s="28">
        <v>1.23</v>
      </c>
      <c r="H29" s="28">
        <v>-6.54</v>
      </c>
      <c r="I29" s="28">
        <v>-0.78</v>
      </c>
      <c r="J29" s="29">
        <v>4.4400000000000004</v>
      </c>
      <c r="K29" s="62">
        <v>6.77</v>
      </c>
      <c r="L29" s="1"/>
      <c r="M29" s="1"/>
      <c r="N29" s="3" t="s">
        <v>60</v>
      </c>
      <c r="O29" s="8">
        <f t="shared" ref="O29:V29" si="23">SUM(O30:O33)</f>
        <v>7.886000000000001</v>
      </c>
      <c r="P29" s="8">
        <f t="shared" si="23"/>
        <v>13.361000000000001</v>
      </c>
      <c r="Q29" s="8">
        <f t="shared" si="23"/>
        <v>43.463999999999999</v>
      </c>
      <c r="R29" s="8">
        <f t="shared" si="23"/>
        <v>46.847999999999999</v>
      </c>
      <c r="S29" s="8">
        <f t="shared" si="23"/>
        <v>33.294999999999995</v>
      </c>
      <c r="T29" s="8">
        <f t="shared" si="23"/>
        <v>34.058</v>
      </c>
      <c r="U29" s="8">
        <f t="shared" si="23"/>
        <v>31.928000000000001</v>
      </c>
      <c r="V29" s="8">
        <f t="shared" si="23"/>
        <v>46.620000000000005</v>
      </c>
      <c r="W29" s="8">
        <f t="shared" ref="W29" si="24">SUM(W30:W34)</f>
        <v>65.606999999999999</v>
      </c>
      <c r="X29" s="63">
        <f>SUM(X30:X34)</f>
        <v>136.88</v>
      </c>
      <c r="Y29" s="1"/>
      <c r="Z29" s="1"/>
    </row>
    <row r="30" spans="1:26" ht="15" customHeight="1">
      <c r="A30" s="13" t="s">
        <v>15</v>
      </c>
      <c r="B30" s="31"/>
      <c r="C30" s="31">
        <f t="shared" ref="C30:H30" si="25">(C29/B29-1)</f>
        <v>1.9433085501858738</v>
      </c>
      <c r="D30" s="14">
        <f t="shared" si="25"/>
        <v>2.2507104515314178</v>
      </c>
      <c r="E30" s="14">
        <f t="shared" si="25"/>
        <v>-0.96192326372025261</v>
      </c>
      <c r="F30" s="14">
        <f t="shared" si="25"/>
        <v>0.28316326530612246</v>
      </c>
      <c r="G30" s="14">
        <f t="shared" si="25"/>
        <v>-0.75546719681908547</v>
      </c>
      <c r="H30" s="14">
        <f t="shared" si="25"/>
        <v>-6.3170731707317076</v>
      </c>
      <c r="I30" s="14">
        <f t="shared" ref="I30:K30" si="26">-(I29/H29-1)</f>
        <v>0.88073394495412849</v>
      </c>
      <c r="J30" s="15">
        <f t="shared" si="26"/>
        <v>6.6923076923076925</v>
      </c>
      <c r="K30" s="55">
        <f t="shared" si="26"/>
        <v>-0.52477477477477463</v>
      </c>
      <c r="L30" s="1"/>
      <c r="M30" s="1"/>
      <c r="N30" s="11" t="s">
        <v>61</v>
      </c>
      <c r="O30" s="12">
        <v>3.9390000000000001</v>
      </c>
      <c r="P30" s="12">
        <v>4.9160000000000004</v>
      </c>
      <c r="Q30" s="12">
        <v>4.3529999999999998</v>
      </c>
      <c r="R30" s="12">
        <v>7.9690000000000003</v>
      </c>
      <c r="S30" s="12">
        <v>22.966000000000001</v>
      </c>
      <c r="T30" s="12">
        <v>17.75</v>
      </c>
      <c r="U30" s="12">
        <v>17.074000000000002</v>
      </c>
      <c r="V30" s="12">
        <f>21.587+0.036</f>
        <v>21.623000000000001</v>
      </c>
      <c r="W30" s="12">
        <v>22.49</v>
      </c>
      <c r="X30" s="11">
        <f>0.36+24.653</f>
        <v>25.012999999999998</v>
      </c>
      <c r="Y30" s="1"/>
      <c r="Z30" s="1"/>
    </row>
    <row r="31" spans="1:26" ht="15" customHeight="1">
      <c r="A31" s="13" t="s">
        <v>17</v>
      </c>
      <c r="B31" s="31"/>
      <c r="C31" s="31"/>
      <c r="D31" s="14"/>
      <c r="E31" s="14"/>
      <c r="F31" s="14"/>
      <c r="G31" s="14">
        <f t="shared" ref="G31:K31" si="27">+((G29/D29)^(1/3)-1)</f>
        <v>-0.77139121254046761</v>
      </c>
      <c r="H31" s="14">
        <f t="shared" si="27"/>
        <v>-2.1860342402905895</v>
      </c>
      <c r="I31" s="14">
        <f t="shared" si="27"/>
        <v>-1.5372489052590406</v>
      </c>
      <c r="J31" s="15">
        <f t="shared" si="27"/>
        <v>0.534002095560284</v>
      </c>
      <c r="K31" s="55">
        <f t="shared" si="27"/>
        <v>-2.0115879330375117</v>
      </c>
      <c r="L31" s="1"/>
      <c r="M31" s="1"/>
      <c r="N31" s="11" t="s">
        <v>62</v>
      </c>
      <c r="O31" s="12">
        <v>3.137</v>
      </c>
      <c r="P31" s="12">
        <v>5.7949999999999999</v>
      </c>
      <c r="Q31" s="12">
        <v>31.393000000000001</v>
      </c>
      <c r="R31" s="12">
        <v>16.908999999999999</v>
      </c>
      <c r="S31" s="12">
        <v>10.206</v>
      </c>
      <c r="T31" s="12">
        <v>14.912000000000001</v>
      </c>
      <c r="U31" s="12">
        <v>13.753</v>
      </c>
      <c r="V31" s="12">
        <v>11.574999999999999</v>
      </c>
      <c r="W31" s="12">
        <v>12.12</v>
      </c>
      <c r="X31" s="11">
        <v>56.558999999999997</v>
      </c>
      <c r="Y31" s="1"/>
      <c r="Z31" s="1"/>
    </row>
    <row r="32" spans="1:26" ht="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1" t="s">
        <v>63</v>
      </c>
      <c r="O32" s="11"/>
      <c r="P32" s="11"/>
      <c r="Q32" s="11"/>
      <c r="R32" s="11"/>
      <c r="S32" s="17"/>
      <c r="T32" s="12"/>
      <c r="U32" s="12"/>
      <c r="V32" s="11">
        <v>13.053000000000001</v>
      </c>
      <c r="W32" s="17">
        <v>26.972000000000001</v>
      </c>
      <c r="X32" s="11">
        <v>32.618000000000002</v>
      </c>
      <c r="Y32" s="1"/>
      <c r="Z32" s="1"/>
    </row>
    <row r="33" spans="1:28" ht="15" customHeight="1">
      <c r="A33" s="70" t="s">
        <v>64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1"/>
      <c r="M33" s="1"/>
      <c r="N33" s="11" t="s">
        <v>65</v>
      </c>
      <c r="O33" s="12">
        <v>0.81</v>
      </c>
      <c r="P33" s="12">
        <v>2.65</v>
      </c>
      <c r="Q33" s="12">
        <v>7.718</v>
      </c>
      <c r="R33" s="12">
        <v>21.97</v>
      </c>
      <c r="S33" s="12">
        <v>0.123</v>
      </c>
      <c r="T33" s="12">
        <v>1.3959999999999999</v>
      </c>
      <c r="U33" s="12">
        <v>1.101</v>
      </c>
      <c r="V33" s="12">
        <v>0.36899999999999999</v>
      </c>
      <c r="W33" s="12">
        <v>0.22</v>
      </c>
      <c r="X33" s="11">
        <v>0.35299999999999998</v>
      </c>
      <c r="Y33" s="1"/>
      <c r="Z33" s="1"/>
    </row>
    <row r="34" spans="1:28" ht="15" customHeight="1">
      <c r="A34" s="3" t="s">
        <v>3</v>
      </c>
      <c r="B34" s="4" t="s">
        <v>4</v>
      </c>
      <c r="C34" s="4" t="s">
        <v>5</v>
      </c>
      <c r="D34" s="4" t="s">
        <v>6</v>
      </c>
      <c r="E34" s="4" t="s">
        <v>7</v>
      </c>
      <c r="F34" s="4" t="s">
        <v>8</v>
      </c>
      <c r="G34" s="4" t="s">
        <v>9</v>
      </c>
      <c r="H34" s="4" t="s">
        <v>10</v>
      </c>
      <c r="I34" s="4" t="s">
        <v>11</v>
      </c>
      <c r="J34" s="4" t="s">
        <v>12</v>
      </c>
      <c r="K34" s="4" t="s">
        <v>116</v>
      </c>
      <c r="L34" s="1"/>
      <c r="M34" s="1"/>
      <c r="N34" s="11" t="s">
        <v>66</v>
      </c>
      <c r="O34" s="11"/>
      <c r="P34" s="11"/>
      <c r="Q34" s="11"/>
      <c r="R34" s="11"/>
      <c r="S34" s="17"/>
      <c r="T34" s="12"/>
      <c r="U34" s="12"/>
      <c r="V34" s="11"/>
      <c r="W34" s="17">
        <v>3.8050000000000002</v>
      </c>
      <c r="X34" s="11">
        <v>22.337</v>
      </c>
      <c r="Y34" s="1"/>
      <c r="Z34" s="1"/>
    </row>
    <row r="35" spans="1:28" ht="15" customHeight="1">
      <c r="A35" s="3" t="s">
        <v>67</v>
      </c>
      <c r="B35" s="8">
        <v>1.81</v>
      </c>
      <c r="C35" s="8">
        <f t="shared" ref="C35:H35" si="28">B40</f>
        <v>2.7949999999999977</v>
      </c>
      <c r="D35" s="8">
        <f t="shared" si="28"/>
        <v>3.9129999999999927</v>
      </c>
      <c r="E35" s="8">
        <f t="shared" si="28"/>
        <v>7.7759999999999891</v>
      </c>
      <c r="F35" s="8">
        <f t="shared" si="28"/>
        <v>25.030999999999999</v>
      </c>
      <c r="G35" s="8">
        <f t="shared" si="28"/>
        <v>27.053999999999988</v>
      </c>
      <c r="H35" s="8">
        <f t="shared" si="28"/>
        <v>37.526000000000025</v>
      </c>
      <c r="I35" s="8">
        <v>34.1</v>
      </c>
      <c r="J35" s="8">
        <f t="shared" ref="J35" si="29">I40</f>
        <v>-8.5000000000000071</v>
      </c>
      <c r="K35" s="8">
        <f>J40</f>
        <v>38.361999999999973</v>
      </c>
      <c r="L35" s="1"/>
      <c r="M35" s="1"/>
      <c r="N35" s="3" t="s">
        <v>68</v>
      </c>
      <c r="O35" s="8">
        <f t="shared" ref="O35:W35" si="30">(O22-O29-O8)</f>
        <v>-1.1190000000000015</v>
      </c>
      <c r="P35" s="8">
        <f t="shared" si="30"/>
        <v>-2.548</v>
      </c>
      <c r="Q35" s="8">
        <f t="shared" si="30"/>
        <v>-5.3659999999999997</v>
      </c>
      <c r="R35" s="8">
        <f t="shared" si="30"/>
        <v>20.171999999999997</v>
      </c>
      <c r="S35" s="8">
        <f t="shared" si="30"/>
        <v>71.097000000000008</v>
      </c>
      <c r="T35" s="8">
        <f t="shared" si="30"/>
        <v>219.18600000000001</v>
      </c>
      <c r="U35" s="8">
        <f t="shared" si="30"/>
        <v>144.36100000000002</v>
      </c>
      <c r="V35" s="8">
        <f t="shared" si="30"/>
        <v>-0.42600000000000193</v>
      </c>
      <c r="W35" s="8">
        <f t="shared" si="30"/>
        <v>24.574999999999999</v>
      </c>
      <c r="X35" s="8">
        <f>(X22-X29-X8)</f>
        <v>120.59799999999997</v>
      </c>
      <c r="Y35" s="1"/>
      <c r="Z35" s="1"/>
    </row>
    <row r="36" spans="1:28" ht="15" customHeight="1">
      <c r="A36" s="11" t="s">
        <v>69</v>
      </c>
      <c r="B36" s="12">
        <v>15.853999999999999</v>
      </c>
      <c r="C36" s="12">
        <v>47.878</v>
      </c>
      <c r="D36" s="12">
        <v>129.63499999999999</v>
      </c>
      <c r="E36" s="12">
        <v>137.63900000000001</v>
      </c>
      <c r="F36" s="12">
        <v>138.99199999999999</v>
      </c>
      <c r="G36" s="12">
        <v>100.29</v>
      </c>
      <c r="H36" s="12">
        <v>-23.78</v>
      </c>
      <c r="I36" s="12">
        <v>127.2</v>
      </c>
      <c r="J36" s="12">
        <v>258.85199999999998</v>
      </c>
      <c r="K36" s="12">
        <v>355.29300000000001</v>
      </c>
      <c r="L36" s="1"/>
      <c r="M36" s="1"/>
      <c r="N36" s="11" t="s">
        <v>70</v>
      </c>
      <c r="O36" s="12">
        <v>1.137</v>
      </c>
      <c r="P36" s="12">
        <v>3.218</v>
      </c>
      <c r="Q36" s="12">
        <v>1.51</v>
      </c>
      <c r="R36" s="12">
        <v>0</v>
      </c>
      <c r="S36" s="12">
        <v>0</v>
      </c>
      <c r="T36" s="12">
        <v>0</v>
      </c>
      <c r="U36" s="12">
        <v>0</v>
      </c>
      <c r="V36" s="12">
        <v>1.506</v>
      </c>
      <c r="W36" s="12">
        <v>6.2649999999999997</v>
      </c>
      <c r="X36" s="11">
        <v>8.907</v>
      </c>
      <c r="Y36" s="1"/>
      <c r="Z36" s="1"/>
    </row>
    <row r="37" spans="1:28" ht="15" customHeight="1">
      <c r="A37" s="11" t="s">
        <v>71</v>
      </c>
      <c r="B37" s="12">
        <v>-19.751000000000001</v>
      </c>
      <c r="C37" s="12">
        <v>-83.831000000000003</v>
      </c>
      <c r="D37" s="12">
        <v>-125.74</v>
      </c>
      <c r="E37" s="12">
        <v>-103.146</v>
      </c>
      <c r="F37" s="12">
        <v>-119.741</v>
      </c>
      <c r="G37" s="12">
        <v>-236.7</v>
      </c>
      <c r="H37" s="12">
        <v>110.009</v>
      </c>
      <c r="I37" s="12">
        <v>-193.3</v>
      </c>
      <c r="J37" s="12">
        <v>-191.92099999999999</v>
      </c>
      <c r="K37" s="12">
        <v>-206.518</v>
      </c>
      <c r="L37" s="1"/>
      <c r="M37" s="1"/>
      <c r="N37" s="11" t="s">
        <v>72</v>
      </c>
      <c r="O37" s="12"/>
      <c r="P37" s="12">
        <v>18.292999999999999</v>
      </c>
      <c r="Q37" s="12">
        <v>25.707000000000001</v>
      </c>
      <c r="R37" s="12">
        <v>15.069000000000001</v>
      </c>
      <c r="S37" s="12">
        <v>4.0250000000000004</v>
      </c>
      <c r="T37" s="12">
        <v>7.83</v>
      </c>
      <c r="U37" s="12">
        <v>7.5129999999999999</v>
      </c>
      <c r="V37" s="12">
        <v>5.9189999999999996</v>
      </c>
      <c r="W37" s="12">
        <v>6.3170000000000002</v>
      </c>
      <c r="X37" s="11">
        <v>7.7430000000000003</v>
      </c>
      <c r="Y37" s="1"/>
      <c r="Z37" s="1"/>
    </row>
    <row r="38" spans="1:28" ht="15" customHeight="1">
      <c r="A38" s="11" t="s">
        <v>73</v>
      </c>
      <c r="B38" s="12">
        <v>4.8819999999999997</v>
      </c>
      <c r="C38" s="12">
        <v>37.070999999999998</v>
      </c>
      <c r="D38" s="12">
        <v>-3.2000000000000001E-2</v>
      </c>
      <c r="E38" s="12">
        <v>-17.238</v>
      </c>
      <c r="F38" s="12">
        <v>-17.228000000000002</v>
      </c>
      <c r="G38" s="12">
        <v>146.88200000000001</v>
      </c>
      <c r="H38" s="12">
        <v>0.42799999999999999</v>
      </c>
      <c r="I38" s="12">
        <v>23.5</v>
      </c>
      <c r="J38" s="12">
        <v>-20.068999999999999</v>
      </c>
      <c r="K38" s="12">
        <v>-24.077999999999999</v>
      </c>
      <c r="L38" s="2"/>
      <c r="M38" s="2"/>
      <c r="N38" s="11" t="s">
        <v>74</v>
      </c>
      <c r="O38" s="12"/>
      <c r="P38" s="12"/>
      <c r="Q38" s="12"/>
      <c r="R38" s="12"/>
      <c r="S38" s="12"/>
      <c r="T38" s="12"/>
      <c r="U38" s="12"/>
      <c r="V38" s="12"/>
      <c r="W38" s="12">
        <v>7.8079999999999998</v>
      </c>
      <c r="X38" s="11">
        <v>30.565999999999999</v>
      </c>
      <c r="Y38" s="1"/>
      <c r="Z38" s="1"/>
    </row>
    <row r="39" spans="1:28" ht="15" customHeight="1">
      <c r="A39" s="3" t="s">
        <v>75</v>
      </c>
      <c r="B39" s="8">
        <f t="shared" ref="B39:J39" si="31">+B36+B37+B38</f>
        <v>0.98499999999999766</v>
      </c>
      <c r="C39" s="8">
        <f t="shared" si="31"/>
        <v>1.117999999999995</v>
      </c>
      <c r="D39" s="8">
        <f t="shared" si="31"/>
        <v>3.862999999999996</v>
      </c>
      <c r="E39" s="8">
        <f t="shared" si="31"/>
        <v>17.25500000000001</v>
      </c>
      <c r="F39" s="8">
        <f t="shared" si="31"/>
        <v>2.022999999999989</v>
      </c>
      <c r="G39" s="8">
        <f t="shared" si="31"/>
        <v>10.472000000000037</v>
      </c>
      <c r="H39" s="8">
        <f t="shared" si="31"/>
        <v>86.656999999999996</v>
      </c>
      <c r="I39" s="32">
        <f t="shared" si="31"/>
        <v>-42.600000000000009</v>
      </c>
      <c r="J39" s="32">
        <f t="shared" si="31"/>
        <v>46.861999999999981</v>
      </c>
      <c r="K39" s="32">
        <f>+K36+K37+K38</f>
        <v>124.697</v>
      </c>
      <c r="L39" s="2"/>
      <c r="M39" s="2"/>
      <c r="N39" s="3" t="s">
        <v>76</v>
      </c>
      <c r="O39" s="8">
        <f t="shared" ref="O39:W39" si="32">O13+O22</f>
        <v>26.266999999999999</v>
      </c>
      <c r="P39" s="8">
        <f t="shared" si="32"/>
        <v>80.644000000000005</v>
      </c>
      <c r="Q39" s="8">
        <f t="shared" si="32"/>
        <v>144.267</v>
      </c>
      <c r="R39" s="8">
        <f t="shared" si="32"/>
        <v>180.2</v>
      </c>
      <c r="S39" s="8">
        <f t="shared" si="32"/>
        <v>207.41499999999999</v>
      </c>
      <c r="T39" s="8">
        <f t="shared" si="32"/>
        <v>377.21000000000004</v>
      </c>
      <c r="U39" s="8">
        <f t="shared" si="32"/>
        <v>283.22200000000004</v>
      </c>
      <c r="V39" s="8">
        <f t="shared" si="32"/>
        <v>366.17699999999991</v>
      </c>
      <c r="W39" s="8">
        <f t="shared" si="32"/>
        <v>479.99299999999999</v>
      </c>
      <c r="X39" s="8">
        <f>X13+X22</f>
        <v>684.07299999999998</v>
      </c>
      <c r="Y39" s="1"/>
      <c r="Z39" s="1"/>
    </row>
    <row r="40" spans="1:28" ht="15" customHeight="1">
      <c r="A40" s="3" t="s">
        <v>77</v>
      </c>
      <c r="B40" s="8">
        <f t="shared" ref="B40:K40" si="33">+B35+B39</f>
        <v>2.7949999999999977</v>
      </c>
      <c r="C40" s="8">
        <f t="shared" si="33"/>
        <v>3.9129999999999927</v>
      </c>
      <c r="D40" s="8">
        <f t="shared" si="33"/>
        <v>7.7759999999999891</v>
      </c>
      <c r="E40" s="8">
        <f t="shared" si="33"/>
        <v>25.030999999999999</v>
      </c>
      <c r="F40" s="8">
        <f t="shared" si="33"/>
        <v>27.053999999999988</v>
      </c>
      <c r="G40" s="8">
        <f t="shared" si="33"/>
        <v>37.526000000000025</v>
      </c>
      <c r="H40" s="8">
        <f t="shared" si="33"/>
        <v>124.18300000000002</v>
      </c>
      <c r="I40" s="32">
        <f t="shared" si="33"/>
        <v>-8.5000000000000071</v>
      </c>
      <c r="J40" s="32">
        <f t="shared" si="33"/>
        <v>38.361999999999973</v>
      </c>
      <c r="K40" s="32">
        <f t="shared" si="33"/>
        <v>163.05899999999997</v>
      </c>
      <c r="L40" s="2"/>
      <c r="M40" s="2"/>
      <c r="N40" s="3" t="s">
        <v>78</v>
      </c>
      <c r="O40" s="8">
        <f t="shared" ref="O40:W40" si="34">O37+O29+O9+O6+O36+O38</f>
        <v>26.266000000000005</v>
      </c>
      <c r="P40" s="8">
        <f t="shared" si="34"/>
        <v>80.64200000000001</v>
      </c>
      <c r="Q40" s="8">
        <f t="shared" si="34"/>
        <v>144.26499999999999</v>
      </c>
      <c r="R40" s="8">
        <f t="shared" si="34"/>
        <v>180.19900000000001</v>
      </c>
      <c r="S40" s="8">
        <f t="shared" si="34"/>
        <v>207.416</v>
      </c>
      <c r="T40" s="8">
        <f t="shared" si="34"/>
        <v>377.21</v>
      </c>
      <c r="U40" s="8">
        <f t="shared" si="34"/>
        <v>283.22199999999998</v>
      </c>
      <c r="V40" s="8">
        <f t="shared" si="34"/>
        <v>366.17699999999996</v>
      </c>
      <c r="W40" s="8">
        <f t="shared" si="34"/>
        <v>479.99299999999994</v>
      </c>
      <c r="X40" s="8">
        <f>X37+X29+X9+X6+X36+X38</f>
        <v>684.07299999999998</v>
      </c>
      <c r="Y40" s="1"/>
      <c r="Z40" s="1"/>
    </row>
    <row r="41" spans="1:28" ht="15" customHeight="1">
      <c r="A41" s="1"/>
      <c r="B41" s="1"/>
      <c r="C41" s="1"/>
      <c r="D41" s="1"/>
      <c r="E41" s="1"/>
      <c r="F41" s="1"/>
      <c r="G41" s="1"/>
      <c r="H41" s="1"/>
      <c r="I41" s="33"/>
      <c r="J41" s="33"/>
      <c r="K41" s="33"/>
      <c r="L41" s="2"/>
      <c r="M41" s="2"/>
      <c r="N41" s="3" t="s">
        <v>79</v>
      </c>
      <c r="O41" s="11"/>
      <c r="P41" s="11"/>
      <c r="Q41" s="11"/>
      <c r="R41" s="11"/>
      <c r="S41" s="17"/>
      <c r="T41" s="12"/>
      <c r="U41" s="12"/>
      <c r="V41" s="12"/>
      <c r="W41" s="11"/>
      <c r="X41" s="11"/>
      <c r="Y41" s="1"/>
      <c r="Z41" s="1"/>
    </row>
    <row r="42" spans="1:28" ht="15" customHeight="1">
      <c r="A42" s="3" t="s">
        <v>80</v>
      </c>
      <c r="B42" s="4" t="s">
        <v>4</v>
      </c>
      <c r="C42" s="4" t="s">
        <v>5</v>
      </c>
      <c r="D42" s="4" t="s">
        <v>6</v>
      </c>
      <c r="E42" s="4" t="s">
        <v>7</v>
      </c>
      <c r="F42" s="4" t="s">
        <v>8</v>
      </c>
      <c r="G42" s="4" t="s">
        <v>9</v>
      </c>
      <c r="H42" s="4" t="s">
        <v>10</v>
      </c>
      <c r="I42" s="6" t="s">
        <v>11</v>
      </c>
      <c r="J42" s="6" t="s">
        <v>12</v>
      </c>
      <c r="K42" s="6" t="s">
        <v>116</v>
      </c>
      <c r="L42" s="1"/>
      <c r="M42" s="1"/>
      <c r="N42" s="3" t="s">
        <v>81</v>
      </c>
      <c r="O42" s="4" t="s">
        <v>4</v>
      </c>
      <c r="P42" s="4" t="s">
        <v>5</v>
      </c>
      <c r="Q42" s="4" t="s">
        <v>6</v>
      </c>
      <c r="R42" s="4" t="s">
        <v>7</v>
      </c>
      <c r="S42" s="4" t="s">
        <v>8</v>
      </c>
      <c r="T42" s="7" t="s">
        <v>9</v>
      </c>
      <c r="U42" s="7" t="s">
        <v>82</v>
      </c>
      <c r="V42" s="7" t="s">
        <v>11</v>
      </c>
      <c r="W42" s="30" t="s">
        <v>12</v>
      </c>
      <c r="X42" s="4" t="s">
        <v>116</v>
      </c>
      <c r="Y42" s="1"/>
      <c r="Z42" s="1"/>
    </row>
    <row r="43" spans="1:28" ht="15" customHeight="1">
      <c r="A43" s="11" t="s">
        <v>83</v>
      </c>
      <c r="B43" s="12">
        <f t="shared" ref="B43:J43" si="35">B19</f>
        <v>4.2519999999999971</v>
      </c>
      <c r="C43" s="12">
        <f t="shared" si="35"/>
        <v>13.239999999999995</v>
      </c>
      <c r="D43" s="12">
        <f t="shared" si="35"/>
        <v>33.812999999999995</v>
      </c>
      <c r="E43" s="12">
        <f t="shared" si="35"/>
        <v>64.332000000000036</v>
      </c>
      <c r="F43" s="12">
        <f t="shared" si="35"/>
        <v>80.725000000000023</v>
      </c>
      <c r="G43" s="12">
        <f t="shared" si="35"/>
        <v>24.219000000000008</v>
      </c>
      <c r="H43" s="12">
        <f t="shared" si="35"/>
        <v>-93.139999999999986</v>
      </c>
      <c r="I43" s="17">
        <f t="shared" si="35"/>
        <v>-12.411000000000003</v>
      </c>
      <c r="J43" s="17">
        <f t="shared" si="35"/>
        <v>52.859999999999985</v>
      </c>
      <c r="K43" s="17">
        <f>K19</f>
        <v>132.36200000000008</v>
      </c>
      <c r="L43" s="1"/>
      <c r="M43" s="1"/>
      <c r="N43" s="32" t="s">
        <v>84</v>
      </c>
      <c r="O43" s="30" t="s">
        <v>28</v>
      </c>
      <c r="P43" s="30" t="s">
        <v>28</v>
      </c>
      <c r="Q43" s="30" t="s">
        <v>28</v>
      </c>
      <c r="R43" s="30" t="s">
        <v>28</v>
      </c>
      <c r="S43" s="30" t="s">
        <v>28</v>
      </c>
      <c r="T43" s="8">
        <v>43.35</v>
      </c>
      <c r="U43" s="28">
        <v>13.7</v>
      </c>
      <c r="V43" s="28">
        <v>39</v>
      </c>
      <c r="W43" s="28">
        <v>120</v>
      </c>
      <c r="X43" s="11">
        <v>191.1</v>
      </c>
      <c r="Y43" s="1"/>
      <c r="Z43" s="1"/>
    </row>
    <row r="44" spans="1:28" ht="15" customHeight="1">
      <c r="A44" s="11" t="s">
        <v>85</v>
      </c>
      <c r="B44" s="12">
        <f t="shared" ref="B44:K44" si="36">B16</f>
        <v>11.023</v>
      </c>
      <c r="C44" s="12">
        <f t="shared" si="36"/>
        <v>33.4</v>
      </c>
      <c r="D44" s="12">
        <f t="shared" si="36"/>
        <v>89.873000000000005</v>
      </c>
      <c r="E44" s="12">
        <f t="shared" si="36"/>
        <v>98.688000000000002</v>
      </c>
      <c r="F44" s="12">
        <f t="shared" si="36"/>
        <v>97.415999999999997</v>
      </c>
      <c r="G44" s="12">
        <f t="shared" si="36"/>
        <v>88.287000000000006</v>
      </c>
      <c r="H44" s="12">
        <f t="shared" si="36"/>
        <v>101.40900000000001</v>
      </c>
      <c r="I44" s="12">
        <f t="shared" si="36"/>
        <v>123.577</v>
      </c>
      <c r="J44" s="12">
        <f t="shared" si="36"/>
        <v>178.26400000000001</v>
      </c>
      <c r="K44" s="12">
        <f t="shared" si="36"/>
        <v>201.11500000000001</v>
      </c>
      <c r="L44" s="1"/>
      <c r="M44" s="1"/>
      <c r="N44" s="32" t="s">
        <v>86</v>
      </c>
      <c r="O44" s="28">
        <f t="shared" ref="O44:V44" si="37">B29</f>
        <v>10.76</v>
      </c>
      <c r="P44" s="28">
        <f t="shared" si="37"/>
        <v>31.67</v>
      </c>
      <c r="Q44" s="28">
        <f t="shared" si="37"/>
        <v>102.95</v>
      </c>
      <c r="R44" s="28">
        <f t="shared" si="37"/>
        <v>3.92</v>
      </c>
      <c r="S44" s="28">
        <f t="shared" si="37"/>
        <v>5.03</v>
      </c>
      <c r="T44" s="28">
        <f t="shared" si="37"/>
        <v>1.23</v>
      </c>
      <c r="U44" s="28">
        <f t="shared" si="37"/>
        <v>-6.54</v>
      </c>
      <c r="V44" s="28">
        <f t="shared" si="37"/>
        <v>-0.78</v>
      </c>
      <c r="W44" s="28">
        <f>J29</f>
        <v>4.4400000000000004</v>
      </c>
      <c r="X44" s="28">
        <f xml:space="preserve"> (20+26+26+22)/14.475</f>
        <v>6.4939550949913647</v>
      </c>
      <c r="Y44" s="1"/>
      <c r="AA44" s="1"/>
    </row>
    <row r="45" spans="1:28" ht="15" customHeight="1">
      <c r="A45" s="11" t="s">
        <v>87</v>
      </c>
      <c r="B45" s="12">
        <f>15.059-B44-B43</f>
        <v>-0.21599999999999753</v>
      </c>
      <c r="C45" s="12">
        <f>47.553-C44-C43</f>
        <v>0.91300000000000381</v>
      </c>
      <c r="D45" s="12">
        <f>130.632-D44-D43</f>
        <v>6.9460000000000051</v>
      </c>
      <c r="E45" s="12">
        <f>167.983-E44-E43</f>
        <v>4.9629999999999654</v>
      </c>
      <c r="F45" s="12">
        <v>2.6809999999999832</v>
      </c>
      <c r="G45" s="12">
        <v>-3.448</v>
      </c>
      <c r="H45" s="12">
        <v>-20.163</v>
      </c>
      <c r="I45" s="17">
        <v>-4.3499999999999996</v>
      </c>
      <c r="J45" s="17">
        <v>8.1</v>
      </c>
      <c r="K45" s="17">
        <v>3.74</v>
      </c>
      <c r="L45" s="1"/>
      <c r="M45" s="1"/>
      <c r="N45" s="32" t="s">
        <v>88</v>
      </c>
      <c r="O45" s="28">
        <f t="shared" ref="O45:T45" si="38">(O6*1000000)/B53</f>
        <v>54.618308520747554</v>
      </c>
      <c r="P45" s="28">
        <f t="shared" si="38"/>
        <v>123.90362750406064</v>
      </c>
      <c r="Q45" s="28">
        <f t="shared" si="38"/>
        <v>198.44660194174756</v>
      </c>
      <c r="R45" s="28">
        <f t="shared" si="38"/>
        <v>318.99137001078748</v>
      </c>
      <c r="S45" s="28">
        <f t="shared" si="38"/>
        <v>14.797261441831736</v>
      </c>
      <c r="T45" s="28">
        <f t="shared" si="38"/>
        <v>23.463694187291392</v>
      </c>
      <c r="U45" s="28">
        <f>(U6*1000000)/G53</f>
        <v>17.058239043880459</v>
      </c>
      <c r="V45" s="28">
        <f t="shared" ref="V45:X45" si="39">(V6*1000000)/I53</f>
        <v>18.995917971321841</v>
      </c>
      <c r="W45" s="28">
        <f t="shared" si="39"/>
        <v>26.568866536327899</v>
      </c>
      <c r="X45" s="28">
        <f t="shared" si="39"/>
        <v>34.127578578590608</v>
      </c>
      <c r="Y45" s="1"/>
      <c r="AA45" s="1"/>
    </row>
    <row r="46" spans="1:28" ht="15" customHeight="1">
      <c r="A46" s="11" t="s">
        <v>89</v>
      </c>
      <c r="B46" s="12">
        <v>1.679</v>
      </c>
      <c r="C46" s="12">
        <v>2.9750000000000001</v>
      </c>
      <c r="D46" s="12">
        <v>6.7210000000000001</v>
      </c>
      <c r="E46" s="12">
        <f>-8.282</f>
        <v>-8.282</v>
      </c>
      <c r="F46" s="12">
        <v>-4.9950000000000045</v>
      </c>
      <c r="G46" s="12">
        <v>17.157</v>
      </c>
      <c r="H46" s="12">
        <v>-0.7</v>
      </c>
      <c r="I46" s="17">
        <v>11.613</v>
      </c>
      <c r="J46" s="17">
        <v>19.3</v>
      </c>
      <c r="K46" s="17">
        <v>36.5</v>
      </c>
      <c r="L46" s="1"/>
      <c r="M46" s="1"/>
      <c r="N46" s="32" t="s">
        <v>90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1"/>
      <c r="AA46" s="1"/>
      <c r="AB46" s="47"/>
    </row>
    <row r="47" spans="1:28" ht="15" customHeight="1">
      <c r="A47" s="11" t="s">
        <v>91</v>
      </c>
      <c r="B47" s="12">
        <v>-0.88400000000000001</v>
      </c>
      <c r="C47" s="12">
        <v>-2.65</v>
      </c>
      <c r="D47" s="12">
        <v>-7.718</v>
      </c>
      <c r="E47" s="12">
        <f>0.09-21.97</f>
        <v>-21.88</v>
      </c>
      <c r="F47" s="12">
        <f>-2.725-34.109</f>
        <v>-36.834000000000003</v>
      </c>
      <c r="G47" s="12">
        <v>-25.923999999999999</v>
      </c>
      <c r="H47" s="12">
        <v>-11.186</v>
      </c>
      <c r="I47" s="17">
        <v>8.7810000000000006</v>
      </c>
      <c r="J47" s="17">
        <v>0.39900000000000002</v>
      </c>
      <c r="K47" s="17">
        <v>-17.899999999999999</v>
      </c>
      <c r="L47" s="1"/>
      <c r="M47" s="1"/>
      <c r="N47" s="32" t="s">
        <v>92</v>
      </c>
      <c r="O47" s="34" t="s">
        <v>28</v>
      </c>
      <c r="P47" s="34" t="s">
        <v>28</v>
      </c>
      <c r="Q47" s="34" t="s">
        <v>28</v>
      </c>
      <c r="R47" s="34" t="s">
        <v>28</v>
      </c>
      <c r="S47" s="34" t="s">
        <v>28</v>
      </c>
      <c r="T47" s="20">
        <f>(T43/T44)</f>
        <v>35.243902439024389</v>
      </c>
      <c r="U47" s="34" t="s">
        <v>28</v>
      </c>
      <c r="V47" s="34" t="s">
        <v>28</v>
      </c>
      <c r="W47" s="20">
        <f>(W43/W44)</f>
        <v>27.027027027027025</v>
      </c>
      <c r="X47" s="20">
        <f>(X43/X44)</f>
        <v>29.427367021276595</v>
      </c>
      <c r="Y47" s="1"/>
      <c r="AA47" s="1"/>
    </row>
    <row r="48" spans="1:28" ht="15" customHeight="1">
      <c r="A48" s="3" t="s">
        <v>93</v>
      </c>
      <c r="B48" s="8">
        <f t="shared" ref="B48:K48" si="40">SUM(B43:B47)</f>
        <v>15.853999999999999</v>
      </c>
      <c r="C48" s="8">
        <f t="shared" si="40"/>
        <v>47.878</v>
      </c>
      <c r="D48" s="8">
        <f t="shared" si="40"/>
        <v>129.63500000000002</v>
      </c>
      <c r="E48" s="8">
        <f t="shared" si="40"/>
        <v>137.821</v>
      </c>
      <c r="F48" s="8">
        <f t="shared" si="40"/>
        <v>138.99299999999999</v>
      </c>
      <c r="G48" s="8">
        <f t="shared" si="40"/>
        <v>100.29100000000003</v>
      </c>
      <c r="H48" s="8">
        <f t="shared" si="40"/>
        <v>-23.77999999999998</v>
      </c>
      <c r="I48" s="32">
        <f t="shared" si="40"/>
        <v>127.21000000000001</v>
      </c>
      <c r="J48" s="32">
        <f t="shared" si="40"/>
        <v>258.923</v>
      </c>
      <c r="K48" s="32">
        <f t="shared" si="40"/>
        <v>355.81700000000012</v>
      </c>
      <c r="L48" s="1"/>
      <c r="M48" s="1"/>
      <c r="N48" s="32" t="s">
        <v>94</v>
      </c>
      <c r="O48" s="34" t="s">
        <v>28</v>
      </c>
      <c r="P48" s="34" t="s">
        <v>28</v>
      </c>
      <c r="Q48" s="34" t="s">
        <v>28</v>
      </c>
      <c r="R48" s="34" t="s">
        <v>28</v>
      </c>
      <c r="S48" s="34" t="s">
        <v>28</v>
      </c>
      <c r="T48" s="20">
        <f t="shared" ref="T48:V48" si="41">(T43/T45)</f>
        <v>1.8475351602340437</v>
      </c>
      <c r="U48" s="20">
        <f t="shared" si="41"/>
        <v>0.80313096590792543</v>
      </c>
      <c r="V48" s="20">
        <f t="shared" si="41"/>
        <v>2.0530726685005876</v>
      </c>
      <c r="W48" s="20">
        <f>(W43/W45)</f>
        <v>4.5165645224617581</v>
      </c>
      <c r="X48" s="20">
        <f>(64+73+83+84)/191.1</f>
        <v>1.5907901622187337</v>
      </c>
      <c r="Y48" s="1"/>
    </row>
    <row r="49" spans="1:26" ht="15" customHeight="1">
      <c r="A49" s="11" t="s">
        <v>95</v>
      </c>
      <c r="B49" s="12">
        <v>-20.106999999999999</v>
      </c>
      <c r="C49" s="12">
        <v>-84.188000000000002</v>
      </c>
      <c r="D49" s="12">
        <f>-127.744</f>
        <v>-127.744</v>
      </c>
      <c r="E49" s="12">
        <f>-105.303</f>
        <v>-105.303</v>
      </c>
      <c r="F49" s="12">
        <v>-81.965999999999994</v>
      </c>
      <c r="G49" s="12">
        <v>-105.857</v>
      </c>
      <c r="H49" s="12">
        <v>-86.801000000000002</v>
      </c>
      <c r="I49" s="12">
        <v>-247.941</v>
      </c>
      <c r="J49" s="12">
        <v>-214.143</v>
      </c>
      <c r="K49" s="12">
        <v>-189.4</v>
      </c>
      <c r="L49" s="1"/>
      <c r="M49" s="1"/>
      <c r="N49" s="32" t="s">
        <v>96</v>
      </c>
      <c r="O49" s="34" t="s">
        <v>28</v>
      </c>
      <c r="P49" s="34" t="s">
        <v>28</v>
      </c>
      <c r="Q49" s="34" t="s">
        <v>28</v>
      </c>
      <c r="R49" s="34" t="s">
        <v>28</v>
      </c>
      <c r="S49" s="34" t="s">
        <v>28</v>
      </c>
      <c r="T49" s="20">
        <f t="shared" ref="T49:W49" si="42">G57/G11</f>
        <v>5.3262368567951155</v>
      </c>
      <c r="U49" s="20">
        <f t="shared" si="42"/>
        <v>-5.9438418782147133</v>
      </c>
      <c r="V49" s="20">
        <f t="shared" si="42"/>
        <v>5.3079465011024727</v>
      </c>
      <c r="W49" s="20">
        <f t="shared" si="42"/>
        <v>7.3157000082812846</v>
      </c>
      <c r="X49" s="34">
        <f>K57/(64+73+83+84)</f>
        <v>8.4095808506578962</v>
      </c>
      <c r="Y49" s="1"/>
    </row>
    <row r="50" spans="1:26" ht="15" customHeight="1">
      <c r="A50" s="3" t="s">
        <v>97</v>
      </c>
      <c r="B50" s="8">
        <f t="shared" ref="B50:K50" si="43">SUM(B48:B49)</f>
        <v>-4.2530000000000001</v>
      </c>
      <c r="C50" s="8">
        <f t="shared" si="43"/>
        <v>-36.31</v>
      </c>
      <c r="D50" s="8">
        <f t="shared" si="43"/>
        <v>1.8910000000000196</v>
      </c>
      <c r="E50" s="8">
        <f t="shared" si="43"/>
        <v>32.518000000000001</v>
      </c>
      <c r="F50" s="8">
        <f t="shared" si="43"/>
        <v>57.027000000000001</v>
      </c>
      <c r="G50" s="8">
        <f t="shared" si="43"/>
        <v>-5.5659999999999741</v>
      </c>
      <c r="H50" s="8">
        <f t="shared" si="43"/>
        <v>-110.58099999999999</v>
      </c>
      <c r="I50" s="32">
        <f t="shared" si="43"/>
        <v>-120.73099999999999</v>
      </c>
      <c r="J50" s="32">
        <f t="shared" si="43"/>
        <v>44.78</v>
      </c>
      <c r="K50" s="32">
        <f t="shared" si="43"/>
        <v>166.41700000000012</v>
      </c>
      <c r="L50" s="1"/>
      <c r="M50" s="1"/>
      <c r="N50" s="35" t="s">
        <v>98</v>
      </c>
      <c r="O50" s="36">
        <f t="shared" ref="O50:W50" si="44">(B22/O6)</f>
        <v>0.16789421794351311</v>
      </c>
      <c r="P50" s="36">
        <f t="shared" si="44"/>
        <v>0.18592964824120589</v>
      </c>
      <c r="Q50" s="36">
        <f t="shared" si="44"/>
        <v>0.3778402913676886</v>
      </c>
      <c r="R50" s="36">
        <f t="shared" si="44"/>
        <v>0.37791041747687765</v>
      </c>
      <c r="S50" s="36">
        <f t="shared" si="44"/>
        <v>0.33860878562694019</v>
      </c>
      <c r="T50" s="36">
        <f t="shared" si="44"/>
        <v>5.1690613798080674E-2</v>
      </c>
      <c r="U50" s="36">
        <f t="shared" si="44"/>
        <v>-0.38368043448833172</v>
      </c>
      <c r="V50" s="36">
        <f t="shared" si="44"/>
        <v>-4.5280086393718957E-2</v>
      </c>
      <c r="W50" s="36">
        <f t="shared" si="44"/>
        <v>0.16773837909237699</v>
      </c>
      <c r="X50" s="36">
        <f>(K22/X6)</f>
        <v>0.20060485707518827</v>
      </c>
      <c r="Y50" s="1"/>
    </row>
    <row r="51" spans="1:26" ht="15" customHeight="1">
      <c r="A51" s="1" t="s">
        <v>99</v>
      </c>
      <c r="B51" s="1"/>
      <c r="C51" s="1"/>
      <c r="D51" s="1"/>
      <c r="E51" s="1"/>
      <c r="F51" s="1"/>
      <c r="G51" s="1"/>
      <c r="H51" s="1"/>
      <c r="I51" s="33"/>
      <c r="J51" s="1"/>
      <c r="K51" s="1"/>
      <c r="L51" s="1"/>
      <c r="M51" s="1"/>
      <c r="N51" s="35" t="s">
        <v>100</v>
      </c>
      <c r="O51" s="36">
        <f t="shared" ref="O51:X51" si="45">(B19+B17)/O10</f>
        <v>0.23770402611534258</v>
      </c>
      <c r="P51" s="36">
        <f t="shared" si="45"/>
        <v>0.21494924272825899</v>
      </c>
      <c r="Q51" s="36">
        <f t="shared" si="45"/>
        <v>0.40945030307239011</v>
      </c>
      <c r="R51" s="36">
        <f t="shared" si="45"/>
        <v>0.53191952066351234</v>
      </c>
      <c r="S51" s="36">
        <f t="shared" si="45"/>
        <v>0.48079209285496877</v>
      </c>
      <c r="T51" s="36">
        <f t="shared" si="45"/>
        <v>7.4302349979018065E-2</v>
      </c>
      <c r="U51" s="36">
        <f t="shared" si="45"/>
        <v>-0.36338312892468577</v>
      </c>
      <c r="V51" s="36">
        <f t="shared" si="45"/>
        <v>-3.7720367008976324E-2</v>
      </c>
      <c r="W51" s="36">
        <f t="shared" si="45"/>
        <v>0.13315423699118142</v>
      </c>
      <c r="X51" s="36">
        <f t="shared" si="45"/>
        <v>0.25234848931032472</v>
      </c>
      <c r="Y51" s="1"/>
    </row>
    <row r="52" spans="1:26" ht="15" customHeight="1">
      <c r="A52" s="1"/>
      <c r="B52" s="1"/>
      <c r="C52" s="1"/>
      <c r="D52" s="1"/>
      <c r="E52" s="1"/>
      <c r="F52" s="1"/>
      <c r="G52" s="1"/>
      <c r="H52" s="1"/>
      <c r="I52" s="33"/>
      <c r="J52" s="1"/>
      <c r="K52" s="1"/>
      <c r="L52" s="1"/>
      <c r="M52" s="1"/>
      <c r="N52" s="32" t="s">
        <v>101</v>
      </c>
      <c r="O52" s="34" t="s">
        <v>28</v>
      </c>
      <c r="P52" s="34" t="s">
        <v>28</v>
      </c>
      <c r="Q52" s="34" t="s">
        <v>28</v>
      </c>
      <c r="R52" s="34" t="s">
        <v>28</v>
      </c>
      <c r="S52" s="34" t="s">
        <v>28</v>
      </c>
      <c r="T52" s="34" t="s">
        <v>28</v>
      </c>
      <c r="U52" s="34" t="s">
        <v>28</v>
      </c>
      <c r="V52" s="20">
        <f t="shared" ref="V52:X52" si="46">(V9/V6)</f>
        <v>0.13877720781921529</v>
      </c>
      <c r="W52" s="20">
        <f t="shared" si="46"/>
        <v>2.4465205532168272E-2</v>
      </c>
      <c r="X52" s="20">
        <f t="shared" si="46"/>
        <v>1.209714150376214E-2</v>
      </c>
      <c r="Y52" s="1"/>
      <c r="Z52" s="1"/>
    </row>
    <row r="53" spans="1:26" ht="15" customHeight="1">
      <c r="A53" s="3" t="s">
        <v>102</v>
      </c>
      <c r="B53" s="37">
        <f t="shared" ref="B53:I53" si="47">O4*100000</f>
        <v>315700</v>
      </c>
      <c r="C53" s="37">
        <f t="shared" si="47"/>
        <v>369400</v>
      </c>
      <c r="D53" s="37">
        <f t="shared" si="47"/>
        <v>370800</v>
      </c>
      <c r="E53" s="37">
        <f t="shared" si="47"/>
        <v>370800</v>
      </c>
      <c r="F53" s="37">
        <f t="shared" si="47"/>
        <v>11495100</v>
      </c>
      <c r="G53" s="37">
        <f t="shared" si="47"/>
        <v>14291100</v>
      </c>
      <c r="H53" s="37">
        <f t="shared" si="47"/>
        <v>14291100</v>
      </c>
      <c r="I53" s="17">
        <f t="shared" si="47"/>
        <v>14429100</v>
      </c>
      <c r="J53" s="17">
        <f>W4*100000</f>
        <v>14475100</v>
      </c>
      <c r="K53" s="17">
        <v>14475126</v>
      </c>
      <c r="L53" s="1"/>
      <c r="M53" s="1"/>
      <c r="N53" s="32" t="s">
        <v>103</v>
      </c>
      <c r="O53" s="34" t="s">
        <v>28</v>
      </c>
      <c r="P53" s="34" t="s">
        <v>28</v>
      </c>
      <c r="Q53" s="34" t="s">
        <v>28</v>
      </c>
      <c r="R53" s="34" t="s">
        <v>28</v>
      </c>
      <c r="S53" s="34" t="s">
        <v>28</v>
      </c>
      <c r="T53" s="34" t="s">
        <v>28</v>
      </c>
      <c r="U53" s="34" t="s">
        <v>28</v>
      </c>
      <c r="V53" s="20">
        <f t="shared" ref="V53:X53" si="48">(V9-V25)/V6</f>
        <v>-5.0610374543039981E-2</v>
      </c>
      <c r="W53" s="20">
        <f t="shared" si="48"/>
        <v>-0.15223863521127859</v>
      </c>
      <c r="X53" s="20">
        <f t="shared" si="48"/>
        <v>-0.42446067922939429</v>
      </c>
      <c r="Y53" s="1"/>
      <c r="Z53" s="1"/>
    </row>
    <row r="54" spans="1:26" ht="15" customHeight="1">
      <c r="A54" s="3" t="s">
        <v>104</v>
      </c>
      <c r="B54" s="24" t="s">
        <v>28</v>
      </c>
      <c r="C54" s="24" t="s">
        <v>28</v>
      </c>
      <c r="D54" s="24" t="s">
        <v>28</v>
      </c>
      <c r="E54" s="24" t="s">
        <v>28</v>
      </c>
      <c r="F54" s="24" t="s">
        <v>28</v>
      </c>
      <c r="G54" s="12">
        <f t="shared" ref="G54:J54" si="49">G53*T43/1000000</f>
        <v>619.51918499999999</v>
      </c>
      <c r="H54" s="12">
        <f t="shared" si="49"/>
        <v>195.78807</v>
      </c>
      <c r="I54" s="17">
        <f t="shared" si="49"/>
        <v>562.73490000000004</v>
      </c>
      <c r="J54" s="17">
        <f t="shared" si="49"/>
        <v>1737.0119999999999</v>
      </c>
      <c r="K54" s="17">
        <f>K53*X43/1000000</f>
        <v>2766.1965786000001</v>
      </c>
      <c r="L54" s="1"/>
      <c r="M54" s="1"/>
      <c r="N54" s="32" t="s">
        <v>105</v>
      </c>
      <c r="O54" s="34" t="s">
        <v>28</v>
      </c>
      <c r="P54" s="34" t="s">
        <v>28</v>
      </c>
      <c r="Q54" s="34" t="s">
        <v>28</v>
      </c>
      <c r="R54" s="34" t="s">
        <v>28</v>
      </c>
      <c r="S54" s="34" t="s">
        <v>28</v>
      </c>
      <c r="T54" s="34" t="s">
        <v>28</v>
      </c>
      <c r="U54" s="34" t="s">
        <v>28</v>
      </c>
      <c r="V54" s="34" t="s">
        <v>28</v>
      </c>
      <c r="W54" s="34" t="s">
        <v>28</v>
      </c>
      <c r="X54" s="46" t="s">
        <v>28</v>
      </c>
      <c r="Y54" s="1"/>
      <c r="Z54" s="1"/>
    </row>
    <row r="55" spans="1:26" ht="15" customHeight="1">
      <c r="A55" s="3" t="s">
        <v>106</v>
      </c>
      <c r="B55" s="12"/>
      <c r="C55" s="12"/>
      <c r="D55" s="12"/>
      <c r="E55" s="12"/>
      <c r="F55" s="12"/>
      <c r="G55" s="12">
        <f t="shared" ref="G55:K55" si="50">T9</f>
        <v>0</v>
      </c>
      <c r="H55" s="12">
        <f t="shared" si="50"/>
        <v>0</v>
      </c>
      <c r="I55" s="17">
        <f t="shared" si="50"/>
        <v>38.037999999999997</v>
      </c>
      <c r="J55" s="17">
        <f t="shared" si="50"/>
        <v>9.4089999999999989</v>
      </c>
      <c r="K55" s="17">
        <f t="shared" si="50"/>
        <v>5.9760000000000009</v>
      </c>
      <c r="L55" s="1"/>
      <c r="M55" s="1"/>
      <c r="N55" s="32" t="s">
        <v>107</v>
      </c>
      <c r="O55" s="37"/>
      <c r="P55" s="37">
        <f t="shared" ref="P55:S55" si="51">(AVERAGE(O24:P24)/C4*365)</f>
        <v>3.4172300199068322</v>
      </c>
      <c r="Q55" s="37">
        <f t="shared" si="51"/>
        <v>9.9169849960491305</v>
      </c>
      <c r="R55" s="37">
        <f t="shared" si="51"/>
        <v>16.568725099601593</v>
      </c>
      <c r="S55" s="37">
        <f t="shared" si="51"/>
        <v>22.014511313246789</v>
      </c>
      <c r="T55" s="37">
        <f t="shared" ref="T55:X55" si="52">(AVERAGE(T24,S24))/(G4)*365</f>
        <v>19.82985720210938</v>
      </c>
      <c r="U55" s="37">
        <f t="shared" si="52"/>
        <v>11.293487832770827</v>
      </c>
      <c r="V55" s="37">
        <f t="shared" si="52"/>
        <v>5.2559230764872833</v>
      </c>
      <c r="W55" s="37">
        <f t="shared" si="52"/>
        <v>1.6243440761546379</v>
      </c>
      <c r="X55" s="37">
        <f t="shared" si="52"/>
        <v>2.0079967614173628</v>
      </c>
      <c r="Y55" s="1"/>
      <c r="Z55" s="1"/>
    </row>
    <row r="56" spans="1:26" ht="15" customHeight="1">
      <c r="A56" s="3" t="s">
        <v>108</v>
      </c>
      <c r="B56" s="12"/>
      <c r="C56" s="12"/>
      <c r="D56" s="12"/>
      <c r="E56" s="12"/>
      <c r="F56" s="12"/>
      <c r="G56" s="12">
        <f t="shared" ref="G56:J56" si="53">T25</f>
        <v>37.484000000000002</v>
      </c>
      <c r="H56" s="12">
        <f t="shared" si="53"/>
        <v>124.14100000000001</v>
      </c>
      <c r="I56" s="17">
        <f t="shared" si="53"/>
        <v>51.91</v>
      </c>
      <c r="J56" s="17">
        <f t="shared" si="53"/>
        <v>67.957999999999998</v>
      </c>
      <c r="K56" s="17">
        <f>X25</f>
        <v>215.66</v>
      </c>
      <c r="L56" s="1"/>
      <c r="M56" s="1"/>
      <c r="N56" s="32" t="s">
        <v>109</v>
      </c>
      <c r="O56" s="12"/>
      <c r="P56" s="12">
        <f t="shared" ref="P56:X56" si="54">AVERAGE(P30,O30)/SUM(C8)*365</f>
        <v>52.816861130176157</v>
      </c>
      <c r="Q56" s="37">
        <f t="shared" si="54"/>
        <v>30.431988270427805</v>
      </c>
      <c r="R56" s="37">
        <f t="shared" si="54"/>
        <v>28.055555555555554</v>
      </c>
      <c r="S56" s="37">
        <f t="shared" si="54"/>
        <v>56.33188154179264</v>
      </c>
      <c r="T56" s="37">
        <f t="shared" si="54"/>
        <v>68.961494556895062</v>
      </c>
      <c r="U56" s="37">
        <f t="shared" si="54"/>
        <v>58.131311283477238</v>
      </c>
      <c r="V56" s="37">
        <f t="shared" si="54"/>
        <v>55.475974454446906</v>
      </c>
      <c r="W56" s="37">
        <f t="shared" si="54"/>
        <v>55.860162641114059</v>
      </c>
      <c r="X56" s="37">
        <f t="shared" si="54"/>
        <v>50.390001976238629</v>
      </c>
      <c r="Y56" s="1"/>
      <c r="Z56" s="1"/>
    </row>
    <row r="57" spans="1:26" ht="15" customHeight="1">
      <c r="A57" s="3" t="s">
        <v>110</v>
      </c>
      <c r="B57" s="12"/>
      <c r="C57" s="12"/>
      <c r="D57" s="12"/>
      <c r="E57" s="12"/>
      <c r="F57" s="12"/>
      <c r="G57" s="12">
        <f t="shared" ref="G57:K57" si="55">G54+G55-G56</f>
        <v>582.03518499999996</v>
      </c>
      <c r="H57" s="12">
        <f t="shared" si="55"/>
        <v>71.647069999999999</v>
      </c>
      <c r="I57" s="17">
        <f t="shared" si="55"/>
        <v>548.86290000000008</v>
      </c>
      <c r="J57" s="17">
        <f t="shared" si="55"/>
        <v>1678.463</v>
      </c>
      <c r="K57" s="17">
        <f t="shared" si="55"/>
        <v>2556.5125786000003</v>
      </c>
      <c r="L57" s="1"/>
      <c r="M57" s="1"/>
      <c r="N57" s="32" t="s">
        <v>111</v>
      </c>
      <c r="O57" s="37"/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"/>
      <c r="Z57" s="1"/>
    </row>
    <row r="58" spans="1:26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2" t="s">
        <v>112</v>
      </c>
      <c r="O58" s="37"/>
      <c r="P58" s="37">
        <f t="shared" ref="P58:X58" si="56">P55-P56</f>
        <v>-49.399631110269326</v>
      </c>
      <c r="Q58" s="37">
        <f t="shared" si="56"/>
        <v>-20.515003274378675</v>
      </c>
      <c r="R58" s="37">
        <f t="shared" si="56"/>
        <v>-11.48683045595396</v>
      </c>
      <c r="S58" s="37">
        <f t="shared" si="56"/>
        <v>-34.317370228545855</v>
      </c>
      <c r="T58" s="37">
        <f t="shared" si="56"/>
        <v>-49.131637354785681</v>
      </c>
      <c r="U58" s="37">
        <f t="shared" si="56"/>
        <v>-46.837823450706409</v>
      </c>
      <c r="V58" s="37">
        <f t="shared" si="56"/>
        <v>-50.220051377959621</v>
      </c>
      <c r="W58" s="37">
        <f t="shared" si="56"/>
        <v>-54.235818564959423</v>
      </c>
      <c r="X58" s="37">
        <f t="shared" si="56"/>
        <v>-48.38200521482127</v>
      </c>
      <c r="Y58" s="1"/>
      <c r="Z58" s="1"/>
    </row>
    <row r="59" spans="1:26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48"/>
      <c r="L59" s="1"/>
      <c r="M59" s="1"/>
      <c r="N59" s="3" t="s">
        <v>113</v>
      </c>
      <c r="O59" s="37"/>
      <c r="P59" s="37">
        <f t="shared" ref="P59:X59" si="57">AVERAGE(O35:P35)/C4*365</f>
        <v>-6.7625377674033231</v>
      </c>
      <c r="Q59" s="37">
        <f t="shared" si="57"/>
        <v>-6.752970165094891</v>
      </c>
      <c r="R59" s="37">
        <f t="shared" si="57"/>
        <v>9.2168824701195202</v>
      </c>
      <c r="S59" s="37">
        <f t="shared" si="57"/>
        <v>46.220294749343736</v>
      </c>
      <c r="T59" s="37">
        <f t="shared" si="57"/>
        <v>156.94924305267523</v>
      </c>
      <c r="U59" s="37">
        <f t="shared" si="57"/>
        <v>264.37305995752325</v>
      </c>
      <c r="V59" s="37">
        <f t="shared" si="57"/>
        <v>74.408506738880419</v>
      </c>
      <c r="W59" s="37">
        <f t="shared" si="57"/>
        <v>8.4960548180763151</v>
      </c>
      <c r="X59" s="37">
        <f t="shared" si="57"/>
        <v>40.020169391164579</v>
      </c>
      <c r="Y59" s="33"/>
      <c r="Z59" s="1"/>
    </row>
    <row r="60" spans="1:26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" t="s">
        <v>114</v>
      </c>
      <c r="O60" s="34" t="s">
        <v>28</v>
      </c>
      <c r="P60" s="34" t="s">
        <v>28</v>
      </c>
      <c r="Q60" s="34" t="s">
        <v>28</v>
      </c>
      <c r="R60" s="34" t="s">
        <v>28</v>
      </c>
      <c r="S60" s="34" t="s">
        <v>28</v>
      </c>
      <c r="T60" s="34" t="s">
        <v>28</v>
      </c>
      <c r="U60" s="34" t="s">
        <v>28</v>
      </c>
      <c r="V60" s="36">
        <f t="shared" ref="V60:X60" si="58">I17/V9</f>
        <v>4.7110783952889222E-2</v>
      </c>
      <c r="W60" s="36">
        <f t="shared" si="58"/>
        <v>0.19768306940163677</v>
      </c>
      <c r="X60" s="36">
        <f t="shared" si="58"/>
        <v>0.79417670682730923</v>
      </c>
      <c r="Y60" s="38"/>
      <c r="Z60" s="1"/>
    </row>
    <row r="61" spans="1:26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" t="s">
        <v>115</v>
      </c>
      <c r="O61" s="39">
        <f t="shared" ref="O61:X61" si="59">(B11-B16-B17)/B17</f>
        <v>33.23931623931621</v>
      </c>
      <c r="P61" s="39">
        <f t="shared" si="59"/>
        <v>10.581014729950896</v>
      </c>
      <c r="Q61" s="39">
        <f t="shared" si="59"/>
        <v>4.4203753351206423</v>
      </c>
      <c r="R61" s="39">
        <f t="shared" si="59"/>
        <v>9.4262121212121261</v>
      </c>
      <c r="S61" s="39">
        <f t="shared" si="59"/>
        <v>26.122701437646278</v>
      </c>
      <c r="T61" s="39">
        <f t="shared" si="59"/>
        <v>15.42410015649453</v>
      </c>
      <c r="U61" s="39">
        <f t="shared" si="59"/>
        <v>-63.205592105263143</v>
      </c>
      <c r="V61" s="39">
        <f t="shared" si="59"/>
        <v>-12.257254464285715</v>
      </c>
      <c r="W61" s="39">
        <f t="shared" si="59"/>
        <v>26.510215053763432</v>
      </c>
      <c r="X61" s="39">
        <f t="shared" si="59"/>
        <v>26.287610619469039</v>
      </c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33"/>
      <c r="T62" s="40"/>
      <c r="U62" s="41"/>
      <c r="V62" s="1"/>
      <c r="W62" s="2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33"/>
      <c r="T63" s="42"/>
      <c r="U63" s="41"/>
      <c r="V63" s="1"/>
      <c r="W63" s="1"/>
      <c r="X63" s="1"/>
      <c r="Y63" s="42"/>
      <c r="Z63" s="1"/>
    </row>
    <row r="64" spans="1:26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3"/>
      <c r="T64" s="42"/>
      <c r="U64" s="41"/>
      <c r="V64" s="1"/>
      <c r="W64" s="1"/>
      <c r="X64" s="43"/>
      <c r="Y64" s="44"/>
      <c r="Z64" s="1"/>
    </row>
    <row r="65" spans="1:2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3"/>
      <c r="T65" s="42"/>
      <c r="U65" s="41"/>
      <c r="V65" s="1"/>
      <c r="W65" s="1"/>
      <c r="X65" s="1"/>
      <c r="Y65" s="1"/>
      <c r="Z65" s="1"/>
    </row>
    <row r="66" spans="1:2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33"/>
      <c r="T66" s="42"/>
      <c r="U66" s="41"/>
      <c r="V66" s="1"/>
      <c r="W66" s="1"/>
      <c r="X66" s="1"/>
      <c r="Y66" s="45"/>
      <c r="Z66" s="1"/>
    </row>
    <row r="67" spans="1:2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33"/>
      <c r="T67" s="42"/>
      <c r="U67" s="41"/>
      <c r="V67" s="1"/>
      <c r="W67" s="1"/>
      <c r="X67" s="1"/>
      <c r="Y67" s="1"/>
      <c r="Z67" s="1"/>
    </row>
    <row r="68" spans="1:2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33"/>
      <c r="T68" s="42"/>
      <c r="U68" s="41"/>
      <c r="V68" s="1"/>
      <c r="W68" s="1"/>
      <c r="X68" s="1"/>
      <c r="Y68" s="1"/>
      <c r="Z68" s="1"/>
    </row>
    <row r="69" spans="1:26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33"/>
      <c r="T69" s="42"/>
      <c r="U69" s="41"/>
      <c r="V69" s="1"/>
      <c r="W69" s="1"/>
      <c r="X69" s="1"/>
      <c r="Y69" s="1"/>
      <c r="Z69" s="1"/>
    </row>
    <row r="70" spans="1:26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33"/>
      <c r="T70" s="42"/>
      <c r="U70" s="4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33"/>
      <c r="T71" s="42"/>
      <c r="U71" s="42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33"/>
      <c r="T72" s="42"/>
      <c r="U72" s="42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3"/>
      <c r="T73" s="42"/>
      <c r="U73" s="42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3"/>
      <c r="T74" s="42"/>
      <c r="U74" s="42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33"/>
      <c r="T75" s="42"/>
      <c r="U75" s="42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33"/>
      <c r="T76" s="42"/>
      <c r="U76" s="42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33"/>
      <c r="T77" s="42"/>
      <c r="U77" s="42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3"/>
      <c r="T78" s="42"/>
      <c r="U78" s="42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3"/>
      <c r="T79" s="42"/>
      <c r="U79" s="42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3"/>
      <c r="T80" s="42"/>
      <c r="U80" s="42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3"/>
      <c r="T81" s="42"/>
      <c r="U81" s="42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33"/>
      <c r="T82" s="42"/>
      <c r="U82" s="42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33"/>
      <c r="T83" s="42"/>
      <c r="U83" s="42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3"/>
      <c r="T84" s="42"/>
      <c r="U84" s="42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33"/>
      <c r="T85" s="42"/>
      <c r="U85" s="42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33"/>
      <c r="T86" s="42"/>
      <c r="U86" s="42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33"/>
      <c r="T87" s="42"/>
      <c r="U87" s="42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3"/>
      <c r="T88" s="42"/>
      <c r="U88" s="42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3"/>
      <c r="T89" s="42"/>
      <c r="U89" s="42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33"/>
      <c r="T90" s="42"/>
      <c r="U90" s="42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33"/>
      <c r="T91" s="42"/>
      <c r="U91" s="42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33"/>
      <c r="T92" s="42"/>
      <c r="U92" s="42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3"/>
      <c r="T93" s="42"/>
      <c r="U93" s="42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3"/>
      <c r="T94" s="42"/>
      <c r="U94" s="42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33"/>
      <c r="T95" s="42"/>
      <c r="U95" s="42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33"/>
      <c r="T96" s="42"/>
      <c r="U96" s="42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33"/>
      <c r="T97" s="42"/>
      <c r="U97" s="42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3"/>
      <c r="T98" s="42"/>
      <c r="U98" s="42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3"/>
      <c r="T99" s="42"/>
      <c r="U99" s="42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33"/>
      <c r="T100" s="42"/>
      <c r="U100" s="42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33"/>
      <c r="T101" s="42"/>
      <c r="U101" s="42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33"/>
      <c r="T102" s="42"/>
      <c r="U102" s="42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33"/>
      <c r="T103" s="42"/>
      <c r="U103" s="42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33"/>
      <c r="T104" s="42"/>
      <c r="U104" s="42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33"/>
      <c r="T105" s="42"/>
      <c r="U105" s="42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33"/>
      <c r="T106" s="42"/>
      <c r="U106" s="42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33"/>
      <c r="T107" s="42"/>
      <c r="U107" s="42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33"/>
      <c r="T108" s="42"/>
      <c r="U108" s="42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33"/>
      <c r="T109" s="42"/>
      <c r="U109" s="42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33"/>
      <c r="T110" s="42"/>
      <c r="U110" s="42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33"/>
      <c r="T111" s="42"/>
      <c r="U111" s="42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33"/>
      <c r="T112" s="42"/>
      <c r="U112" s="42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33"/>
      <c r="T113" s="42"/>
      <c r="U113" s="42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33"/>
      <c r="T114" s="42"/>
      <c r="U114" s="42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33"/>
      <c r="T115" s="42"/>
      <c r="U115" s="42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33"/>
      <c r="T116" s="42"/>
      <c r="U116" s="42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33"/>
      <c r="T117" s="42"/>
      <c r="U117" s="42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33"/>
      <c r="T118" s="42"/>
      <c r="U118" s="42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33"/>
      <c r="T119" s="42"/>
      <c r="U119" s="42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33"/>
      <c r="T120" s="42"/>
      <c r="U120" s="42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33"/>
      <c r="T121" s="42"/>
      <c r="U121" s="42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33"/>
      <c r="T122" s="42"/>
      <c r="U122" s="42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33"/>
      <c r="T123" s="42"/>
      <c r="U123" s="42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33"/>
      <c r="T124" s="42"/>
      <c r="U124" s="42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33"/>
      <c r="T125" s="42"/>
      <c r="U125" s="42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33"/>
      <c r="T126" s="42"/>
      <c r="U126" s="42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33"/>
      <c r="T127" s="42"/>
      <c r="U127" s="42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33"/>
      <c r="T128" s="42"/>
      <c r="U128" s="42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33"/>
      <c r="T129" s="42"/>
      <c r="U129" s="42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33"/>
      <c r="T130" s="42"/>
      <c r="U130" s="42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33"/>
      <c r="T131" s="42"/>
      <c r="U131" s="42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33"/>
      <c r="T132" s="42"/>
      <c r="U132" s="42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33"/>
      <c r="T133" s="42"/>
      <c r="U133" s="42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33"/>
      <c r="T134" s="42"/>
      <c r="U134" s="42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33"/>
      <c r="T135" s="42"/>
      <c r="U135" s="42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33"/>
      <c r="T136" s="42"/>
      <c r="U136" s="42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33"/>
      <c r="T137" s="42"/>
      <c r="U137" s="42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33"/>
      <c r="T138" s="42"/>
      <c r="U138" s="42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33"/>
      <c r="T139" s="42"/>
      <c r="U139" s="42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33"/>
      <c r="T140" s="42"/>
      <c r="U140" s="42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33"/>
      <c r="T141" s="42"/>
      <c r="U141" s="42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33"/>
      <c r="T142" s="42"/>
      <c r="U142" s="42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33"/>
      <c r="T143" s="42"/>
      <c r="U143" s="42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33"/>
      <c r="T144" s="42"/>
      <c r="U144" s="42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33"/>
      <c r="T145" s="42"/>
      <c r="U145" s="42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33"/>
      <c r="T146" s="42"/>
      <c r="U146" s="42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33"/>
      <c r="T147" s="42"/>
      <c r="U147" s="42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33"/>
      <c r="T148" s="42"/>
      <c r="U148" s="42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33"/>
      <c r="T149" s="42"/>
      <c r="U149" s="42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33"/>
      <c r="T150" s="42"/>
      <c r="U150" s="42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33"/>
      <c r="T151" s="42"/>
      <c r="U151" s="42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33"/>
      <c r="T152" s="42"/>
      <c r="U152" s="42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33"/>
      <c r="T153" s="42"/>
      <c r="U153" s="42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33"/>
      <c r="T154" s="42"/>
      <c r="U154" s="42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33"/>
      <c r="T155" s="42"/>
      <c r="U155" s="42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33"/>
      <c r="T156" s="42"/>
      <c r="U156" s="42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33"/>
      <c r="T157" s="42"/>
      <c r="U157" s="42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33"/>
      <c r="T158" s="42"/>
      <c r="U158" s="42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33"/>
      <c r="T159" s="42"/>
      <c r="U159" s="42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33"/>
      <c r="T160" s="42"/>
      <c r="U160" s="42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33"/>
      <c r="T161" s="42"/>
      <c r="U161" s="42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33"/>
      <c r="T162" s="42"/>
      <c r="U162" s="42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33"/>
      <c r="T163" s="42"/>
      <c r="U163" s="42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33"/>
      <c r="T164" s="42"/>
      <c r="U164" s="42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33"/>
      <c r="T165" s="42"/>
      <c r="U165" s="42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33"/>
      <c r="T166" s="42"/>
      <c r="U166" s="42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33"/>
      <c r="T167" s="42"/>
      <c r="U167" s="42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33"/>
      <c r="T168" s="42"/>
      <c r="U168" s="42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33"/>
      <c r="T169" s="42"/>
      <c r="U169" s="42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33"/>
      <c r="T170" s="42"/>
      <c r="U170" s="42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33"/>
      <c r="T171" s="42"/>
      <c r="U171" s="42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33"/>
      <c r="T172" s="42"/>
      <c r="U172" s="42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33"/>
      <c r="T173" s="42"/>
      <c r="U173" s="42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33"/>
      <c r="T174" s="42"/>
      <c r="U174" s="42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33"/>
      <c r="T175" s="42"/>
      <c r="U175" s="42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33"/>
      <c r="T176" s="42"/>
      <c r="U176" s="42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33"/>
      <c r="T177" s="42"/>
      <c r="U177" s="42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33"/>
      <c r="T178" s="42"/>
      <c r="U178" s="42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33"/>
      <c r="T179" s="42"/>
      <c r="U179" s="42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33"/>
      <c r="T180" s="42"/>
      <c r="U180" s="42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33"/>
      <c r="T181" s="42"/>
      <c r="U181" s="42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33"/>
      <c r="T182" s="42"/>
      <c r="U182" s="42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33"/>
      <c r="T183" s="42"/>
      <c r="U183" s="42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33"/>
      <c r="T184" s="42"/>
      <c r="U184" s="42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33"/>
      <c r="T185" s="42"/>
      <c r="U185" s="42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33"/>
      <c r="T186" s="42"/>
      <c r="U186" s="42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33"/>
      <c r="T187" s="42"/>
      <c r="U187" s="42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33"/>
      <c r="T188" s="42"/>
      <c r="U188" s="42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33"/>
      <c r="T189" s="42"/>
      <c r="U189" s="42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33"/>
      <c r="T190" s="42"/>
      <c r="U190" s="42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33"/>
      <c r="T191" s="42"/>
      <c r="U191" s="42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33"/>
      <c r="T192" s="42"/>
      <c r="U192" s="42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33"/>
      <c r="T193" s="42"/>
      <c r="U193" s="42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33"/>
      <c r="T194" s="42"/>
      <c r="U194" s="42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33"/>
      <c r="T195" s="42"/>
      <c r="U195" s="42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33"/>
      <c r="T196" s="42"/>
      <c r="U196" s="42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33"/>
      <c r="T197" s="42"/>
      <c r="U197" s="42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33"/>
      <c r="T198" s="42"/>
      <c r="U198" s="42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33"/>
      <c r="T199" s="42"/>
      <c r="U199" s="42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33"/>
      <c r="T200" s="42"/>
      <c r="U200" s="42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33"/>
      <c r="T201" s="42"/>
      <c r="U201" s="42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33"/>
      <c r="T202" s="42"/>
      <c r="U202" s="42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33"/>
      <c r="T203" s="42"/>
      <c r="U203" s="42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33"/>
      <c r="T204" s="42"/>
      <c r="U204" s="42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33"/>
      <c r="T205" s="42"/>
      <c r="U205" s="42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33"/>
      <c r="T206" s="42"/>
      <c r="U206" s="42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33"/>
      <c r="T207" s="42"/>
      <c r="U207" s="42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33"/>
      <c r="T208" s="42"/>
      <c r="U208" s="42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33"/>
      <c r="T209" s="42"/>
      <c r="U209" s="42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33"/>
      <c r="T210" s="42"/>
      <c r="U210" s="42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33"/>
      <c r="T211" s="42"/>
      <c r="U211" s="42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33"/>
      <c r="T212" s="42"/>
      <c r="U212" s="42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33"/>
      <c r="T213" s="42"/>
      <c r="U213" s="42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33"/>
      <c r="T214" s="42"/>
      <c r="U214" s="42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33"/>
      <c r="T215" s="42"/>
      <c r="U215" s="42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33"/>
      <c r="T216" s="42"/>
      <c r="U216" s="42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33"/>
      <c r="T217" s="42"/>
      <c r="U217" s="42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33"/>
      <c r="T218" s="42"/>
      <c r="U218" s="42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33"/>
      <c r="T219" s="42"/>
      <c r="U219" s="42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33"/>
      <c r="T220" s="42"/>
      <c r="U220" s="42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33"/>
      <c r="T221" s="42"/>
      <c r="U221" s="42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33"/>
      <c r="T222" s="42"/>
      <c r="U222" s="42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33"/>
      <c r="T223" s="42"/>
      <c r="U223" s="42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33"/>
      <c r="T224" s="42"/>
      <c r="U224" s="42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33"/>
      <c r="T225" s="42"/>
      <c r="U225" s="42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33"/>
      <c r="T226" s="42"/>
      <c r="U226" s="42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33"/>
      <c r="T227" s="42"/>
      <c r="U227" s="42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33"/>
      <c r="T228" s="42"/>
      <c r="U228" s="42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33"/>
      <c r="T229" s="42"/>
      <c r="U229" s="42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33"/>
      <c r="T230" s="42"/>
      <c r="U230" s="42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33"/>
      <c r="T231" s="42"/>
      <c r="U231" s="42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33"/>
      <c r="T232" s="42"/>
      <c r="U232" s="42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33"/>
      <c r="T233" s="42"/>
      <c r="U233" s="42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33"/>
      <c r="T234" s="42"/>
      <c r="U234" s="42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33"/>
      <c r="T235" s="42"/>
      <c r="U235" s="42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33"/>
      <c r="T236" s="42"/>
      <c r="U236" s="42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33"/>
      <c r="T237" s="42"/>
      <c r="U237" s="42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33"/>
      <c r="T238" s="42"/>
      <c r="U238" s="42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33"/>
      <c r="T239" s="42"/>
      <c r="U239" s="42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33"/>
      <c r="T240" s="42"/>
      <c r="U240" s="42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33"/>
      <c r="T241" s="42"/>
      <c r="U241" s="42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33"/>
      <c r="T242" s="42"/>
      <c r="U242" s="42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33"/>
      <c r="T243" s="42"/>
      <c r="U243" s="42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33"/>
      <c r="T244" s="42"/>
      <c r="U244" s="42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33"/>
      <c r="T245" s="42"/>
      <c r="U245" s="42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33"/>
      <c r="T246" s="42"/>
      <c r="U246" s="42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33"/>
      <c r="T247" s="42"/>
      <c r="U247" s="42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33"/>
      <c r="T248" s="42"/>
      <c r="U248" s="42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33"/>
      <c r="T249" s="42"/>
      <c r="U249" s="42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33"/>
      <c r="T250" s="42"/>
      <c r="U250" s="42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33"/>
      <c r="T251" s="42"/>
      <c r="U251" s="42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33"/>
      <c r="T252" s="42"/>
      <c r="U252" s="42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33"/>
      <c r="T253" s="42"/>
      <c r="U253" s="42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33"/>
      <c r="T254" s="42"/>
      <c r="U254" s="42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33"/>
      <c r="T255" s="42"/>
      <c r="U255" s="42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33"/>
      <c r="T256" s="42"/>
      <c r="U256" s="42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33"/>
      <c r="T257" s="42"/>
      <c r="U257" s="42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33"/>
      <c r="T258" s="42"/>
      <c r="U258" s="42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33"/>
      <c r="T259" s="42"/>
      <c r="U259" s="42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33"/>
      <c r="T260" s="42"/>
      <c r="U260" s="42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33"/>
      <c r="T261" s="42"/>
      <c r="U261" s="42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33"/>
      <c r="T262" s="42"/>
      <c r="U262" s="42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33"/>
      <c r="T263" s="42"/>
      <c r="U263" s="42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33"/>
      <c r="T264" s="42"/>
      <c r="U264" s="42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33"/>
      <c r="T265" s="42"/>
      <c r="U265" s="42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33"/>
      <c r="T266" s="42"/>
      <c r="U266" s="42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33"/>
      <c r="T267" s="42"/>
      <c r="U267" s="42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33"/>
      <c r="T268" s="42"/>
      <c r="U268" s="42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33"/>
      <c r="T269" s="42"/>
      <c r="U269" s="42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33"/>
      <c r="T270" s="42"/>
      <c r="U270" s="42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33"/>
      <c r="T271" s="42"/>
      <c r="U271" s="42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33"/>
      <c r="T272" s="42"/>
      <c r="U272" s="42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33"/>
      <c r="T273" s="42"/>
      <c r="U273" s="42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33"/>
      <c r="T274" s="42"/>
      <c r="U274" s="42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33"/>
      <c r="T275" s="42"/>
      <c r="U275" s="42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33"/>
      <c r="T276" s="42"/>
      <c r="U276" s="42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33"/>
      <c r="T277" s="42"/>
      <c r="U277" s="42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33"/>
      <c r="T278" s="42"/>
      <c r="U278" s="42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33"/>
      <c r="T279" s="42"/>
      <c r="U279" s="42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33"/>
      <c r="T280" s="42"/>
      <c r="U280" s="42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33"/>
      <c r="T281" s="42"/>
      <c r="U281" s="42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33"/>
      <c r="T282" s="42"/>
      <c r="U282" s="42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33"/>
      <c r="T283" s="42"/>
      <c r="U283" s="42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33"/>
      <c r="T284" s="42"/>
      <c r="U284" s="42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33"/>
      <c r="T285" s="42"/>
      <c r="U285" s="42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33"/>
      <c r="T286" s="42"/>
      <c r="U286" s="42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33"/>
      <c r="T287" s="42"/>
      <c r="U287" s="42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33"/>
      <c r="T288" s="42"/>
      <c r="U288" s="42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33"/>
      <c r="T289" s="42"/>
      <c r="U289" s="42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33"/>
      <c r="T290" s="42"/>
      <c r="U290" s="42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33"/>
      <c r="T291" s="42"/>
      <c r="U291" s="42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33"/>
      <c r="T292" s="42"/>
      <c r="U292" s="42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33"/>
      <c r="T293" s="42"/>
      <c r="U293" s="42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33"/>
      <c r="T294" s="42"/>
      <c r="U294" s="42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33"/>
      <c r="T295" s="42"/>
      <c r="U295" s="42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33"/>
      <c r="T296" s="42"/>
      <c r="U296" s="42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33"/>
      <c r="T297" s="42"/>
      <c r="U297" s="42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33"/>
      <c r="T298" s="42"/>
      <c r="U298" s="42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33"/>
      <c r="T299" s="42"/>
      <c r="U299" s="42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33"/>
      <c r="T300" s="42"/>
      <c r="U300" s="42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33"/>
      <c r="T301" s="42"/>
      <c r="U301" s="42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33"/>
      <c r="T302" s="42"/>
      <c r="U302" s="42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33"/>
      <c r="T303" s="42"/>
      <c r="U303" s="42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33"/>
      <c r="T304" s="42"/>
      <c r="U304" s="42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33"/>
      <c r="T305" s="42"/>
      <c r="U305" s="42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33"/>
      <c r="T306" s="42"/>
      <c r="U306" s="42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33"/>
      <c r="T307" s="42"/>
      <c r="U307" s="42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33"/>
      <c r="T308" s="42"/>
      <c r="U308" s="42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33"/>
      <c r="T309" s="42"/>
      <c r="U309" s="42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33"/>
      <c r="T310" s="42"/>
      <c r="U310" s="42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33"/>
      <c r="T311" s="42"/>
      <c r="U311" s="42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33"/>
      <c r="T312" s="42"/>
      <c r="U312" s="42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33"/>
      <c r="T313" s="42"/>
      <c r="U313" s="42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33"/>
      <c r="T314" s="42"/>
      <c r="U314" s="42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33"/>
      <c r="T315" s="42"/>
      <c r="U315" s="42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33"/>
      <c r="T316" s="42"/>
      <c r="U316" s="42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33"/>
      <c r="T317" s="42"/>
      <c r="U317" s="42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33"/>
      <c r="T318" s="42"/>
      <c r="U318" s="42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33"/>
      <c r="T319" s="42"/>
      <c r="U319" s="42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33"/>
      <c r="T320" s="42"/>
      <c r="U320" s="42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33"/>
      <c r="T321" s="42"/>
      <c r="U321" s="42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33"/>
      <c r="T322" s="42"/>
      <c r="U322" s="42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33"/>
      <c r="T323" s="42"/>
      <c r="U323" s="42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33"/>
      <c r="T324" s="42"/>
      <c r="U324" s="42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33"/>
      <c r="T325" s="42"/>
      <c r="U325" s="42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33"/>
      <c r="T326" s="42"/>
      <c r="U326" s="42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33"/>
      <c r="T327" s="42"/>
      <c r="U327" s="42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33"/>
      <c r="T328" s="42"/>
      <c r="U328" s="42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33"/>
      <c r="T329" s="42"/>
      <c r="U329" s="42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33"/>
      <c r="T330" s="42"/>
      <c r="U330" s="42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33"/>
      <c r="T331" s="42"/>
      <c r="U331" s="42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33"/>
      <c r="T332" s="42"/>
      <c r="U332" s="42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33"/>
      <c r="T333" s="42"/>
      <c r="U333" s="42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33"/>
      <c r="T334" s="42"/>
      <c r="U334" s="42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33"/>
      <c r="T335" s="42"/>
      <c r="U335" s="42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33"/>
      <c r="T336" s="42"/>
      <c r="U336" s="42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33"/>
      <c r="T337" s="42"/>
      <c r="U337" s="42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33"/>
      <c r="T338" s="42"/>
      <c r="U338" s="42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33"/>
      <c r="T339" s="42"/>
      <c r="U339" s="42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33"/>
      <c r="T340" s="42"/>
      <c r="U340" s="42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33"/>
      <c r="T341" s="42"/>
      <c r="U341" s="42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33"/>
      <c r="T342" s="42"/>
      <c r="U342" s="42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33"/>
      <c r="T343" s="42"/>
      <c r="U343" s="42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33"/>
      <c r="T344" s="42"/>
      <c r="U344" s="42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33"/>
      <c r="T345" s="42"/>
      <c r="U345" s="42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33"/>
      <c r="T346" s="42"/>
      <c r="U346" s="42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33"/>
      <c r="T347" s="42"/>
      <c r="U347" s="42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33"/>
      <c r="T348" s="42"/>
      <c r="U348" s="42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33"/>
      <c r="T349" s="42"/>
      <c r="U349" s="42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33"/>
      <c r="T350" s="42"/>
      <c r="U350" s="42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33"/>
      <c r="T351" s="42"/>
      <c r="U351" s="42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33"/>
      <c r="T352" s="42"/>
      <c r="U352" s="42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33"/>
      <c r="T353" s="42"/>
      <c r="U353" s="42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33"/>
      <c r="T354" s="42"/>
      <c r="U354" s="42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33"/>
      <c r="T355" s="42"/>
      <c r="U355" s="42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33"/>
      <c r="T356" s="42"/>
      <c r="U356" s="42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33"/>
      <c r="T357" s="42"/>
      <c r="U357" s="42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33"/>
      <c r="T358" s="42"/>
      <c r="U358" s="42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33"/>
      <c r="T359" s="42"/>
      <c r="U359" s="42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33"/>
      <c r="T360" s="42"/>
      <c r="U360" s="42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33"/>
      <c r="T361" s="42"/>
      <c r="U361" s="42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33"/>
      <c r="T362" s="42"/>
      <c r="U362" s="42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33"/>
      <c r="T363" s="42"/>
      <c r="U363" s="42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33"/>
      <c r="T364" s="42"/>
      <c r="U364" s="42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33"/>
      <c r="T365" s="42"/>
      <c r="U365" s="42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33"/>
      <c r="T366" s="42"/>
      <c r="U366" s="42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33"/>
      <c r="T367" s="42"/>
      <c r="U367" s="42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33"/>
      <c r="T368" s="42"/>
      <c r="U368" s="42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33"/>
      <c r="T369" s="42"/>
      <c r="U369" s="42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33"/>
      <c r="T370" s="42"/>
      <c r="U370" s="42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33"/>
      <c r="T371" s="42"/>
      <c r="U371" s="42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33"/>
      <c r="T372" s="42"/>
      <c r="U372" s="42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33"/>
      <c r="T373" s="42"/>
      <c r="U373" s="42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33"/>
      <c r="T374" s="42"/>
      <c r="U374" s="42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33"/>
      <c r="T375" s="42"/>
      <c r="U375" s="42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33"/>
      <c r="T376" s="42"/>
      <c r="U376" s="42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33"/>
      <c r="T377" s="42"/>
      <c r="U377" s="42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33"/>
      <c r="T378" s="42"/>
      <c r="U378" s="42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33"/>
      <c r="T379" s="42"/>
      <c r="U379" s="42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33"/>
      <c r="T380" s="42"/>
      <c r="U380" s="42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33"/>
      <c r="T381" s="42"/>
      <c r="U381" s="42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33"/>
      <c r="T382" s="42"/>
      <c r="U382" s="42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33"/>
      <c r="T383" s="42"/>
      <c r="U383" s="42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33"/>
      <c r="T384" s="42"/>
      <c r="U384" s="42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33"/>
      <c r="T385" s="42"/>
      <c r="U385" s="42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33"/>
      <c r="T386" s="42"/>
      <c r="U386" s="42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33"/>
      <c r="T387" s="42"/>
      <c r="U387" s="42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33"/>
      <c r="T388" s="42"/>
      <c r="U388" s="42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33"/>
      <c r="T389" s="42"/>
      <c r="U389" s="42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33"/>
      <c r="T390" s="42"/>
      <c r="U390" s="42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33"/>
      <c r="T391" s="42"/>
      <c r="U391" s="42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33"/>
      <c r="T392" s="42"/>
      <c r="U392" s="42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33"/>
      <c r="T393" s="42"/>
      <c r="U393" s="42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33"/>
      <c r="T394" s="42"/>
      <c r="U394" s="42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33"/>
      <c r="T395" s="42"/>
      <c r="U395" s="42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33"/>
      <c r="T396" s="42"/>
      <c r="U396" s="42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33"/>
      <c r="T397" s="42"/>
      <c r="U397" s="42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33"/>
      <c r="T398" s="42"/>
      <c r="U398" s="42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33"/>
      <c r="T399" s="42"/>
      <c r="U399" s="42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33"/>
      <c r="T400" s="42"/>
      <c r="U400" s="42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33"/>
      <c r="T401" s="42"/>
      <c r="U401" s="42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33"/>
      <c r="T402" s="42"/>
      <c r="U402" s="42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33"/>
      <c r="T403" s="42"/>
      <c r="U403" s="42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33"/>
      <c r="T404" s="42"/>
      <c r="U404" s="42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33"/>
      <c r="T405" s="42"/>
      <c r="U405" s="42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33"/>
      <c r="T406" s="42"/>
      <c r="U406" s="42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33"/>
      <c r="T407" s="42"/>
      <c r="U407" s="42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33"/>
      <c r="T408" s="42"/>
      <c r="U408" s="42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33"/>
      <c r="T409" s="42"/>
      <c r="U409" s="42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33"/>
      <c r="T410" s="42"/>
      <c r="U410" s="42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33"/>
      <c r="T411" s="42"/>
      <c r="U411" s="42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33"/>
      <c r="T412" s="42"/>
      <c r="U412" s="42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33"/>
      <c r="T413" s="42"/>
      <c r="U413" s="42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33"/>
      <c r="T414" s="42"/>
      <c r="U414" s="42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33"/>
      <c r="T415" s="42"/>
      <c r="U415" s="42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33"/>
      <c r="T416" s="42"/>
      <c r="U416" s="42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33"/>
      <c r="T417" s="42"/>
      <c r="U417" s="42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33"/>
      <c r="T418" s="42"/>
      <c r="U418" s="42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33"/>
      <c r="T419" s="42"/>
      <c r="U419" s="42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33"/>
      <c r="T420" s="42"/>
      <c r="U420" s="42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33"/>
      <c r="T421" s="42"/>
      <c r="U421" s="42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33"/>
      <c r="T422" s="42"/>
      <c r="U422" s="42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33"/>
      <c r="T423" s="42"/>
      <c r="U423" s="42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33"/>
      <c r="T424" s="42"/>
      <c r="U424" s="42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33"/>
      <c r="T425" s="42"/>
      <c r="U425" s="42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33"/>
      <c r="T426" s="42"/>
      <c r="U426" s="42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33"/>
      <c r="T427" s="42"/>
      <c r="U427" s="42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33"/>
      <c r="T428" s="42"/>
      <c r="U428" s="42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33"/>
      <c r="T429" s="42"/>
      <c r="U429" s="42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33"/>
      <c r="T430" s="42"/>
      <c r="U430" s="42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33"/>
      <c r="T431" s="42"/>
      <c r="U431" s="42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33"/>
      <c r="T432" s="42"/>
      <c r="U432" s="42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33"/>
      <c r="T433" s="42"/>
      <c r="U433" s="42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33"/>
      <c r="T434" s="42"/>
      <c r="U434" s="42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33"/>
      <c r="T435" s="42"/>
      <c r="U435" s="42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33"/>
      <c r="T436" s="42"/>
      <c r="U436" s="42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33"/>
      <c r="T437" s="42"/>
      <c r="U437" s="42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33"/>
      <c r="T438" s="42"/>
      <c r="U438" s="42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33"/>
      <c r="T439" s="42"/>
      <c r="U439" s="42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33"/>
      <c r="T440" s="42"/>
      <c r="U440" s="42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33"/>
      <c r="T441" s="42"/>
      <c r="U441" s="42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33"/>
      <c r="T442" s="42"/>
      <c r="U442" s="42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33"/>
      <c r="T443" s="42"/>
      <c r="U443" s="42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33"/>
      <c r="T444" s="42"/>
      <c r="U444" s="42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33"/>
      <c r="T445" s="42"/>
      <c r="U445" s="42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33"/>
      <c r="T446" s="42"/>
      <c r="U446" s="42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33"/>
      <c r="T447" s="42"/>
      <c r="U447" s="42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33"/>
      <c r="T448" s="42"/>
      <c r="U448" s="42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33"/>
      <c r="T449" s="42"/>
      <c r="U449" s="42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33"/>
      <c r="T450" s="42"/>
      <c r="U450" s="42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33"/>
      <c r="T451" s="42"/>
      <c r="U451" s="42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33"/>
      <c r="T452" s="42"/>
      <c r="U452" s="42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33"/>
      <c r="T453" s="42"/>
      <c r="U453" s="42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33"/>
      <c r="T454" s="42"/>
      <c r="U454" s="42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33"/>
      <c r="T455" s="42"/>
      <c r="U455" s="42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33"/>
      <c r="T456" s="42"/>
      <c r="U456" s="42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33"/>
      <c r="T457" s="42"/>
      <c r="U457" s="42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33"/>
      <c r="T458" s="42"/>
      <c r="U458" s="42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33"/>
      <c r="T459" s="42"/>
      <c r="U459" s="42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33"/>
      <c r="T460" s="42"/>
      <c r="U460" s="42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33"/>
      <c r="T461" s="42"/>
      <c r="U461" s="42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33"/>
      <c r="T462" s="42"/>
      <c r="U462" s="42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33"/>
      <c r="T463" s="42"/>
      <c r="U463" s="42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33"/>
      <c r="T464" s="42"/>
      <c r="U464" s="42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33"/>
      <c r="T465" s="42"/>
      <c r="U465" s="42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33"/>
      <c r="T466" s="42"/>
      <c r="U466" s="42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33"/>
      <c r="T467" s="42"/>
      <c r="U467" s="42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33"/>
      <c r="T468" s="42"/>
      <c r="U468" s="42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33"/>
      <c r="T469" s="42"/>
      <c r="U469" s="42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33"/>
      <c r="T470" s="42"/>
      <c r="U470" s="42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33"/>
      <c r="T471" s="42"/>
      <c r="U471" s="42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33"/>
      <c r="T472" s="42"/>
      <c r="U472" s="42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33"/>
      <c r="T473" s="42"/>
      <c r="U473" s="42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33"/>
      <c r="T474" s="42"/>
      <c r="U474" s="42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33"/>
      <c r="T475" s="42"/>
      <c r="U475" s="42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33"/>
      <c r="T476" s="42"/>
      <c r="U476" s="42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33"/>
      <c r="T477" s="42"/>
      <c r="U477" s="42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33"/>
      <c r="T478" s="42"/>
      <c r="U478" s="42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33"/>
      <c r="T479" s="42"/>
      <c r="U479" s="42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33"/>
      <c r="T480" s="42"/>
      <c r="U480" s="42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33"/>
      <c r="T481" s="42"/>
      <c r="U481" s="42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33"/>
      <c r="T482" s="42"/>
      <c r="U482" s="42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33"/>
      <c r="T483" s="42"/>
      <c r="U483" s="42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33"/>
      <c r="T484" s="42"/>
      <c r="U484" s="42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33"/>
      <c r="T485" s="42"/>
      <c r="U485" s="42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33"/>
      <c r="T486" s="42"/>
      <c r="U486" s="42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33"/>
      <c r="T487" s="42"/>
      <c r="U487" s="42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33"/>
      <c r="T488" s="42"/>
      <c r="U488" s="42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33"/>
      <c r="T489" s="42"/>
      <c r="U489" s="42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33"/>
      <c r="T490" s="42"/>
      <c r="U490" s="42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33"/>
      <c r="T491" s="42"/>
      <c r="U491" s="42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33"/>
      <c r="T492" s="42"/>
      <c r="U492" s="42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33"/>
      <c r="T493" s="42"/>
      <c r="U493" s="42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33"/>
      <c r="T494" s="42"/>
      <c r="U494" s="42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33"/>
      <c r="T495" s="42"/>
      <c r="U495" s="42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33"/>
      <c r="T496" s="42"/>
      <c r="U496" s="42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33"/>
      <c r="T497" s="42"/>
      <c r="U497" s="42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33"/>
      <c r="T498" s="42"/>
      <c r="U498" s="42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33"/>
      <c r="T499" s="42"/>
      <c r="U499" s="42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33"/>
      <c r="T500" s="42"/>
      <c r="U500" s="42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33"/>
      <c r="T501" s="42"/>
      <c r="U501" s="42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33"/>
      <c r="T502" s="42"/>
      <c r="U502" s="42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33"/>
      <c r="T503" s="42"/>
      <c r="U503" s="42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33"/>
      <c r="T504" s="42"/>
      <c r="U504" s="42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33"/>
      <c r="T505" s="42"/>
      <c r="U505" s="42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33"/>
      <c r="T506" s="42"/>
      <c r="U506" s="42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33"/>
      <c r="T507" s="42"/>
      <c r="U507" s="42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33"/>
      <c r="T508" s="42"/>
      <c r="U508" s="42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33"/>
      <c r="T509" s="42"/>
      <c r="U509" s="42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33"/>
      <c r="T510" s="42"/>
      <c r="U510" s="42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33"/>
      <c r="T511" s="42"/>
      <c r="U511" s="42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33"/>
      <c r="T512" s="42"/>
      <c r="U512" s="42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33"/>
      <c r="T513" s="42"/>
      <c r="U513" s="42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33"/>
      <c r="T514" s="42"/>
      <c r="U514" s="42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33"/>
      <c r="T515" s="42"/>
      <c r="U515" s="42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33"/>
      <c r="T516" s="42"/>
      <c r="U516" s="42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33"/>
      <c r="T517" s="42"/>
      <c r="U517" s="42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33"/>
      <c r="T518" s="42"/>
      <c r="U518" s="42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33"/>
      <c r="T519" s="42"/>
      <c r="U519" s="42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33"/>
      <c r="T520" s="42"/>
      <c r="U520" s="42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33"/>
      <c r="T521" s="42"/>
      <c r="U521" s="42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33"/>
      <c r="T522" s="42"/>
      <c r="U522" s="42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33"/>
      <c r="T523" s="42"/>
      <c r="U523" s="42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33"/>
      <c r="T524" s="42"/>
      <c r="U524" s="42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33"/>
      <c r="T525" s="42"/>
      <c r="U525" s="42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33"/>
      <c r="T526" s="42"/>
      <c r="U526" s="42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33"/>
      <c r="T527" s="42"/>
      <c r="U527" s="42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33"/>
      <c r="T528" s="42"/>
      <c r="U528" s="42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33"/>
      <c r="T529" s="42"/>
      <c r="U529" s="42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33"/>
      <c r="T530" s="42"/>
      <c r="U530" s="42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33"/>
      <c r="T531" s="42"/>
      <c r="U531" s="42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33"/>
      <c r="T532" s="42"/>
      <c r="U532" s="42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33"/>
      <c r="T533" s="42"/>
      <c r="U533" s="42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33"/>
      <c r="T534" s="42"/>
      <c r="U534" s="42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33"/>
      <c r="T535" s="42"/>
      <c r="U535" s="42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33"/>
      <c r="T536" s="42"/>
      <c r="U536" s="42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33"/>
      <c r="T537" s="42"/>
      <c r="U537" s="42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33"/>
      <c r="T538" s="42"/>
      <c r="U538" s="42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33"/>
      <c r="T539" s="42"/>
      <c r="U539" s="42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33"/>
      <c r="T540" s="42"/>
      <c r="U540" s="42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33"/>
      <c r="T541" s="42"/>
      <c r="U541" s="42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33"/>
      <c r="T542" s="42"/>
      <c r="U542" s="42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33"/>
      <c r="T543" s="42"/>
      <c r="U543" s="42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33"/>
      <c r="T544" s="42"/>
      <c r="U544" s="42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33"/>
      <c r="T545" s="42"/>
      <c r="U545" s="42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33"/>
      <c r="T546" s="42"/>
      <c r="U546" s="42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33"/>
      <c r="T547" s="42"/>
      <c r="U547" s="42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33"/>
      <c r="T548" s="42"/>
      <c r="U548" s="42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33"/>
      <c r="T549" s="42"/>
      <c r="U549" s="42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33"/>
      <c r="T550" s="42"/>
      <c r="U550" s="42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33"/>
      <c r="T551" s="42"/>
      <c r="U551" s="42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33"/>
      <c r="T552" s="42"/>
      <c r="U552" s="42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33"/>
      <c r="T553" s="42"/>
      <c r="U553" s="42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33"/>
      <c r="T554" s="42"/>
      <c r="U554" s="42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33"/>
      <c r="T555" s="42"/>
      <c r="U555" s="42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33"/>
      <c r="T556" s="42"/>
      <c r="U556" s="42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33"/>
      <c r="T557" s="42"/>
      <c r="U557" s="42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33"/>
      <c r="T558" s="42"/>
      <c r="U558" s="42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33"/>
      <c r="T559" s="42"/>
      <c r="U559" s="42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33"/>
      <c r="T560" s="42"/>
      <c r="U560" s="42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33"/>
      <c r="T561" s="42"/>
      <c r="U561" s="42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33"/>
      <c r="T562" s="42"/>
      <c r="U562" s="42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33"/>
      <c r="T563" s="42"/>
      <c r="U563" s="42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33"/>
      <c r="T564" s="42"/>
      <c r="U564" s="42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33"/>
      <c r="T565" s="42"/>
      <c r="U565" s="42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33"/>
      <c r="T566" s="42"/>
      <c r="U566" s="42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33"/>
      <c r="T567" s="42"/>
      <c r="U567" s="42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33"/>
      <c r="T568" s="42"/>
      <c r="U568" s="42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33"/>
      <c r="T569" s="42"/>
      <c r="U569" s="42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33"/>
      <c r="T570" s="42"/>
      <c r="U570" s="42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33"/>
      <c r="T571" s="42"/>
      <c r="U571" s="42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33"/>
      <c r="T572" s="42"/>
      <c r="U572" s="42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33"/>
      <c r="T573" s="42"/>
      <c r="U573" s="42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33"/>
      <c r="T574" s="42"/>
      <c r="U574" s="42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33"/>
      <c r="T575" s="42"/>
      <c r="U575" s="42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33"/>
      <c r="T576" s="42"/>
      <c r="U576" s="42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33"/>
      <c r="T577" s="42"/>
      <c r="U577" s="42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33"/>
      <c r="T578" s="42"/>
      <c r="U578" s="42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33"/>
      <c r="T579" s="42"/>
      <c r="U579" s="42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33"/>
      <c r="T580" s="42"/>
      <c r="U580" s="42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33"/>
      <c r="T581" s="42"/>
      <c r="U581" s="42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33"/>
      <c r="T582" s="42"/>
      <c r="U582" s="42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33"/>
      <c r="T583" s="42"/>
      <c r="U583" s="42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33"/>
      <c r="T584" s="42"/>
      <c r="U584" s="42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33"/>
      <c r="T585" s="42"/>
      <c r="U585" s="42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33"/>
      <c r="T586" s="42"/>
      <c r="U586" s="42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33"/>
      <c r="T587" s="42"/>
      <c r="U587" s="42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33"/>
      <c r="T588" s="42"/>
      <c r="U588" s="42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33"/>
      <c r="T589" s="42"/>
      <c r="U589" s="42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33"/>
      <c r="T590" s="42"/>
      <c r="U590" s="42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33"/>
      <c r="T591" s="42"/>
      <c r="U591" s="42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33"/>
      <c r="T592" s="42"/>
      <c r="U592" s="42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33"/>
      <c r="T593" s="42"/>
      <c r="U593" s="42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33"/>
      <c r="T594" s="42"/>
      <c r="U594" s="42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33"/>
      <c r="T595" s="42"/>
      <c r="U595" s="42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33"/>
      <c r="T596" s="42"/>
      <c r="U596" s="42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33"/>
      <c r="T597" s="42"/>
      <c r="U597" s="42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33"/>
      <c r="T598" s="42"/>
      <c r="U598" s="42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33"/>
      <c r="T599" s="42"/>
      <c r="U599" s="42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33"/>
      <c r="T600" s="42"/>
      <c r="U600" s="42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33"/>
      <c r="T601" s="42"/>
      <c r="U601" s="42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33"/>
      <c r="T602" s="42"/>
      <c r="U602" s="42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33"/>
      <c r="T603" s="42"/>
      <c r="U603" s="42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33"/>
      <c r="T604" s="42"/>
      <c r="U604" s="42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33"/>
      <c r="T605" s="42"/>
      <c r="U605" s="42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33"/>
      <c r="T606" s="42"/>
      <c r="U606" s="42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33"/>
      <c r="T607" s="42"/>
      <c r="U607" s="42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33"/>
      <c r="T608" s="42"/>
      <c r="U608" s="42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33"/>
      <c r="T609" s="42"/>
      <c r="U609" s="42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33"/>
      <c r="T610" s="42"/>
      <c r="U610" s="42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33"/>
      <c r="T611" s="42"/>
      <c r="U611" s="42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33"/>
      <c r="T612" s="42"/>
      <c r="U612" s="42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33"/>
      <c r="T613" s="42"/>
      <c r="U613" s="42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33"/>
      <c r="T614" s="42"/>
      <c r="U614" s="42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33"/>
      <c r="T615" s="42"/>
      <c r="U615" s="42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33"/>
      <c r="T616" s="42"/>
      <c r="U616" s="42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33"/>
      <c r="T617" s="42"/>
      <c r="U617" s="42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33"/>
      <c r="T618" s="42"/>
      <c r="U618" s="42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33"/>
      <c r="T619" s="42"/>
      <c r="U619" s="42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33"/>
      <c r="T620" s="42"/>
      <c r="U620" s="42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33"/>
      <c r="T621" s="42"/>
      <c r="U621" s="42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33"/>
      <c r="T622" s="42"/>
      <c r="U622" s="42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33"/>
      <c r="T623" s="42"/>
      <c r="U623" s="42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33"/>
      <c r="T624" s="42"/>
      <c r="U624" s="42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33"/>
      <c r="T625" s="42"/>
      <c r="U625" s="42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33"/>
      <c r="T626" s="42"/>
      <c r="U626" s="42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33"/>
      <c r="T627" s="42"/>
      <c r="U627" s="42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33"/>
      <c r="T628" s="42"/>
      <c r="U628" s="42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33"/>
      <c r="T629" s="42"/>
      <c r="U629" s="42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33"/>
      <c r="T630" s="42"/>
      <c r="U630" s="42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33"/>
      <c r="T631" s="42"/>
      <c r="U631" s="42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33"/>
      <c r="T632" s="42"/>
      <c r="U632" s="42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33"/>
      <c r="T633" s="42"/>
      <c r="U633" s="42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33"/>
      <c r="T634" s="42"/>
      <c r="U634" s="42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33"/>
      <c r="T635" s="42"/>
      <c r="U635" s="42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33"/>
      <c r="T636" s="42"/>
      <c r="U636" s="42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33"/>
      <c r="T637" s="42"/>
      <c r="U637" s="42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33"/>
      <c r="T638" s="42"/>
      <c r="U638" s="42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33"/>
      <c r="T639" s="42"/>
      <c r="U639" s="42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33"/>
      <c r="T640" s="42"/>
      <c r="U640" s="42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33"/>
      <c r="T641" s="42"/>
      <c r="U641" s="42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33"/>
      <c r="T642" s="42"/>
      <c r="U642" s="42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33"/>
      <c r="T643" s="42"/>
      <c r="U643" s="42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33"/>
      <c r="T644" s="42"/>
      <c r="U644" s="42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33"/>
      <c r="T645" s="42"/>
      <c r="U645" s="42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33"/>
      <c r="T646" s="42"/>
      <c r="U646" s="42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33"/>
      <c r="T647" s="42"/>
      <c r="U647" s="42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33"/>
      <c r="T648" s="42"/>
      <c r="U648" s="42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33"/>
      <c r="T649" s="42"/>
      <c r="U649" s="42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33"/>
      <c r="T650" s="42"/>
      <c r="U650" s="42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33"/>
      <c r="T651" s="42"/>
      <c r="U651" s="42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33"/>
      <c r="T652" s="42"/>
      <c r="U652" s="42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33"/>
      <c r="T653" s="42"/>
      <c r="U653" s="42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33"/>
      <c r="T654" s="42"/>
      <c r="U654" s="42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33"/>
      <c r="T655" s="42"/>
      <c r="U655" s="42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33"/>
      <c r="T656" s="42"/>
      <c r="U656" s="42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33"/>
      <c r="T657" s="42"/>
      <c r="U657" s="42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33"/>
      <c r="T658" s="42"/>
      <c r="U658" s="42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33"/>
      <c r="T659" s="42"/>
      <c r="U659" s="42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33"/>
      <c r="T660" s="42"/>
      <c r="U660" s="42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33"/>
      <c r="T661" s="42"/>
      <c r="U661" s="42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33"/>
      <c r="T662" s="42"/>
      <c r="U662" s="42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33"/>
      <c r="T663" s="42"/>
      <c r="U663" s="42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33"/>
      <c r="T664" s="42"/>
      <c r="U664" s="42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33"/>
      <c r="T665" s="42"/>
      <c r="U665" s="42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33"/>
      <c r="T666" s="42"/>
      <c r="U666" s="42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33"/>
      <c r="T667" s="42"/>
      <c r="U667" s="42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33"/>
      <c r="T668" s="42"/>
      <c r="U668" s="42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33"/>
      <c r="T669" s="42"/>
      <c r="U669" s="42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33"/>
      <c r="T670" s="42"/>
      <c r="U670" s="42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33"/>
      <c r="T671" s="42"/>
      <c r="U671" s="42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33"/>
      <c r="T672" s="42"/>
      <c r="U672" s="42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33"/>
      <c r="T673" s="42"/>
      <c r="U673" s="42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33"/>
      <c r="T674" s="42"/>
      <c r="U674" s="42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33"/>
      <c r="T675" s="42"/>
      <c r="U675" s="42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33"/>
      <c r="T676" s="42"/>
      <c r="U676" s="42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33"/>
      <c r="T677" s="42"/>
      <c r="U677" s="42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33"/>
      <c r="T678" s="42"/>
      <c r="U678" s="42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33"/>
      <c r="T679" s="42"/>
      <c r="U679" s="42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33"/>
      <c r="T680" s="42"/>
      <c r="U680" s="42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33"/>
      <c r="T681" s="42"/>
      <c r="U681" s="42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33"/>
      <c r="T682" s="42"/>
      <c r="U682" s="42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33"/>
      <c r="T683" s="42"/>
      <c r="U683" s="42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33"/>
      <c r="T684" s="42"/>
      <c r="U684" s="42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33"/>
      <c r="T685" s="42"/>
      <c r="U685" s="42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33"/>
      <c r="T686" s="42"/>
      <c r="U686" s="42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33"/>
      <c r="T687" s="42"/>
      <c r="U687" s="42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33"/>
      <c r="T688" s="42"/>
      <c r="U688" s="42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33"/>
      <c r="T689" s="42"/>
      <c r="U689" s="42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33"/>
      <c r="T690" s="42"/>
      <c r="U690" s="42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33"/>
      <c r="T691" s="42"/>
      <c r="U691" s="42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33"/>
      <c r="T692" s="42"/>
      <c r="U692" s="42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33"/>
      <c r="T693" s="42"/>
      <c r="U693" s="42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33"/>
      <c r="T694" s="42"/>
      <c r="U694" s="42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33"/>
      <c r="T695" s="42"/>
      <c r="U695" s="42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33"/>
      <c r="T696" s="42"/>
      <c r="U696" s="42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33"/>
      <c r="T697" s="42"/>
      <c r="U697" s="42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33"/>
      <c r="T698" s="42"/>
      <c r="U698" s="42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33"/>
      <c r="T699" s="42"/>
      <c r="U699" s="42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33"/>
      <c r="T700" s="42"/>
      <c r="U700" s="42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33"/>
      <c r="T701" s="42"/>
      <c r="U701" s="42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33"/>
      <c r="T702" s="42"/>
      <c r="U702" s="42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33"/>
      <c r="T703" s="42"/>
      <c r="U703" s="42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33"/>
      <c r="T704" s="42"/>
      <c r="U704" s="42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33"/>
      <c r="T705" s="42"/>
      <c r="U705" s="42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33"/>
      <c r="T706" s="42"/>
      <c r="U706" s="42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33"/>
      <c r="T707" s="42"/>
      <c r="U707" s="42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33"/>
      <c r="T708" s="42"/>
      <c r="U708" s="42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33"/>
      <c r="T709" s="42"/>
      <c r="U709" s="42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33"/>
      <c r="T710" s="42"/>
      <c r="U710" s="42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33"/>
      <c r="T711" s="42"/>
      <c r="U711" s="42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33"/>
      <c r="T712" s="42"/>
      <c r="U712" s="42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33"/>
      <c r="T713" s="42"/>
      <c r="U713" s="42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33"/>
      <c r="T714" s="42"/>
      <c r="U714" s="42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33"/>
      <c r="T715" s="42"/>
      <c r="U715" s="42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33"/>
      <c r="T716" s="42"/>
      <c r="U716" s="42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33"/>
      <c r="T717" s="42"/>
      <c r="U717" s="42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33"/>
      <c r="T718" s="42"/>
      <c r="U718" s="42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33"/>
      <c r="T719" s="42"/>
      <c r="U719" s="42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33"/>
      <c r="T720" s="42"/>
      <c r="U720" s="42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33"/>
      <c r="T721" s="42"/>
      <c r="U721" s="42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33"/>
      <c r="T722" s="42"/>
      <c r="U722" s="42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33"/>
      <c r="T723" s="42"/>
      <c r="U723" s="42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33"/>
      <c r="T724" s="42"/>
      <c r="U724" s="42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33"/>
      <c r="T725" s="42"/>
      <c r="U725" s="42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33"/>
      <c r="T726" s="42"/>
      <c r="U726" s="42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33"/>
      <c r="T727" s="42"/>
      <c r="U727" s="42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33"/>
      <c r="T728" s="42"/>
      <c r="U728" s="42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33"/>
      <c r="T729" s="42"/>
      <c r="U729" s="42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33"/>
      <c r="T730" s="42"/>
      <c r="U730" s="42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33"/>
      <c r="T731" s="42"/>
      <c r="U731" s="42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33"/>
      <c r="T732" s="42"/>
      <c r="U732" s="42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33"/>
      <c r="T733" s="42"/>
      <c r="U733" s="42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33"/>
      <c r="T734" s="42"/>
      <c r="U734" s="42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33"/>
      <c r="T735" s="42"/>
      <c r="U735" s="42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33"/>
      <c r="T736" s="42"/>
      <c r="U736" s="42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33"/>
      <c r="T737" s="42"/>
      <c r="U737" s="42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33"/>
      <c r="T738" s="42"/>
      <c r="U738" s="42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33"/>
      <c r="T739" s="42"/>
      <c r="U739" s="42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33"/>
      <c r="T740" s="42"/>
      <c r="U740" s="42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33"/>
      <c r="T741" s="42"/>
      <c r="U741" s="42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33"/>
      <c r="T742" s="42"/>
      <c r="U742" s="42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33"/>
      <c r="T743" s="42"/>
      <c r="U743" s="42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33"/>
      <c r="T744" s="42"/>
      <c r="U744" s="42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33"/>
      <c r="T745" s="42"/>
      <c r="U745" s="42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33"/>
      <c r="T746" s="42"/>
      <c r="U746" s="42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33"/>
      <c r="T747" s="42"/>
      <c r="U747" s="42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33"/>
      <c r="T748" s="42"/>
      <c r="U748" s="42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33"/>
      <c r="T749" s="42"/>
      <c r="U749" s="42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33"/>
      <c r="T750" s="42"/>
      <c r="U750" s="42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33"/>
      <c r="T751" s="42"/>
      <c r="U751" s="42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33"/>
      <c r="T752" s="42"/>
      <c r="U752" s="42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33"/>
      <c r="T753" s="42"/>
      <c r="U753" s="42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33"/>
      <c r="T754" s="42"/>
      <c r="U754" s="42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33"/>
      <c r="T755" s="42"/>
      <c r="U755" s="42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33"/>
      <c r="T756" s="42"/>
      <c r="U756" s="42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33"/>
      <c r="T757" s="42"/>
      <c r="U757" s="42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33"/>
      <c r="T758" s="42"/>
      <c r="U758" s="42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33"/>
      <c r="T759" s="42"/>
      <c r="U759" s="42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33"/>
      <c r="T760" s="42"/>
      <c r="U760" s="42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33"/>
      <c r="T761" s="42"/>
      <c r="U761" s="42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33"/>
      <c r="T762" s="42"/>
      <c r="U762" s="42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33"/>
      <c r="T763" s="42"/>
      <c r="U763" s="42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33"/>
      <c r="T764" s="42"/>
      <c r="U764" s="42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33"/>
      <c r="T765" s="42"/>
      <c r="U765" s="42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33"/>
      <c r="T766" s="42"/>
      <c r="U766" s="42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33"/>
      <c r="T767" s="42"/>
      <c r="U767" s="42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33"/>
      <c r="T768" s="42"/>
      <c r="U768" s="42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33"/>
      <c r="T769" s="42"/>
      <c r="U769" s="42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33"/>
      <c r="T770" s="42"/>
      <c r="U770" s="42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33"/>
      <c r="T771" s="42"/>
      <c r="U771" s="42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33"/>
      <c r="T772" s="42"/>
      <c r="U772" s="42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33"/>
      <c r="T773" s="42"/>
      <c r="U773" s="42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33"/>
      <c r="T774" s="42"/>
      <c r="U774" s="42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33"/>
      <c r="T775" s="42"/>
      <c r="U775" s="42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33"/>
      <c r="T776" s="42"/>
      <c r="U776" s="42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33"/>
      <c r="T777" s="42"/>
      <c r="U777" s="42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33"/>
      <c r="T778" s="42"/>
      <c r="U778" s="42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33"/>
      <c r="T779" s="42"/>
      <c r="U779" s="42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33"/>
      <c r="T780" s="42"/>
      <c r="U780" s="42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33"/>
      <c r="T781" s="42"/>
      <c r="U781" s="42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33"/>
      <c r="T782" s="42"/>
      <c r="U782" s="42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33"/>
      <c r="T783" s="42"/>
      <c r="U783" s="42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33"/>
      <c r="T784" s="42"/>
      <c r="U784" s="42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33"/>
      <c r="T785" s="42"/>
      <c r="U785" s="42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33"/>
      <c r="T786" s="42"/>
      <c r="U786" s="42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33"/>
      <c r="T787" s="42"/>
      <c r="U787" s="42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33"/>
      <c r="T788" s="42"/>
      <c r="U788" s="42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33"/>
      <c r="T789" s="42"/>
      <c r="U789" s="42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33"/>
      <c r="T790" s="42"/>
      <c r="U790" s="42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33"/>
      <c r="T791" s="42"/>
      <c r="U791" s="42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33"/>
      <c r="T792" s="42"/>
      <c r="U792" s="42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33"/>
      <c r="T793" s="42"/>
      <c r="U793" s="42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33"/>
      <c r="T794" s="42"/>
      <c r="U794" s="42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33"/>
      <c r="T795" s="42"/>
      <c r="U795" s="42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33"/>
      <c r="T796" s="42"/>
      <c r="U796" s="42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33"/>
      <c r="T797" s="42"/>
      <c r="U797" s="42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33"/>
      <c r="T798" s="42"/>
      <c r="U798" s="42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33"/>
      <c r="T799" s="42"/>
      <c r="U799" s="42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33"/>
      <c r="T800" s="42"/>
      <c r="U800" s="42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33"/>
      <c r="T801" s="42"/>
      <c r="U801" s="42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33"/>
      <c r="T802" s="42"/>
      <c r="U802" s="42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33"/>
      <c r="T803" s="42"/>
      <c r="U803" s="42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33"/>
      <c r="T804" s="42"/>
      <c r="U804" s="42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33"/>
      <c r="T805" s="42"/>
      <c r="U805" s="42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33"/>
      <c r="T806" s="42"/>
      <c r="U806" s="42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33"/>
      <c r="T807" s="42"/>
      <c r="U807" s="42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33"/>
      <c r="T808" s="42"/>
      <c r="U808" s="42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33"/>
      <c r="T809" s="42"/>
      <c r="U809" s="42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33"/>
      <c r="T810" s="42"/>
      <c r="U810" s="42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33"/>
      <c r="T811" s="42"/>
      <c r="U811" s="42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33"/>
      <c r="T812" s="42"/>
      <c r="U812" s="42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33"/>
      <c r="T813" s="42"/>
      <c r="U813" s="42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33"/>
      <c r="T814" s="42"/>
      <c r="U814" s="42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33"/>
      <c r="T815" s="42"/>
      <c r="U815" s="42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33"/>
      <c r="T816" s="42"/>
      <c r="U816" s="42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33"/>
      <c r="T817" s="42"/>
      <c r="U817" s="42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33"/>
      <c r="T818" s="42"/>
      <c r="U818" s="42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33"/>
      <c r="T819" s="42"/>
      <c r="U819" s="42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33"/>
      <c r="T820" s="42"/>
      <c r="U820" s="42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33"/>
      <c r="T821" s="42"/>
      <c r="U821" s="42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33"/>
      <c r="T822" s="42"/>
      <c r="U822" s="42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33"/>
      <c r="T823" s="42"/>
      <c r="U823" s="42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33"/>
      <c r="T824" s="42"/>
      <c r="U824" s="42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33"/>
      <c r="T825" s="42"/>
      <c r="U825" s="42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33"/>
      <c r="T826" s="42"/>
      <c r="U826" s="42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33"/>
      <c r="T827" s="42"/>
      <c r="U827" s="42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33"/>
      <c r="T828" s="42"/>
      <c r="U828" s="42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33"/>
      <c r="T829" s="42"/>
      <c r="U829" s="42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33"/>
      <c r="T830" s="42"/>
      <c r="U830" s="42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33"/>
      <c r="T831" s="42"/>
      <c r="U831" s="42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33"/>
      <c r="T832" s="42"/>
      <c r="U832" s="42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33"/>
      <c r="T833" s="42"/>
      <c r="U833" s="42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33"/>
      <c r="T834" s="42"/>
      <c r="U834" s="42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33"/>
      <c r="T835" s="42"/>
      <c r="U835" s="42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33"/>
      <c r="T836" s="42"/>
      <c r="U836" s="42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33"/>
      <c r="T837" s="42"/>
      <c r="U837" s="42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33"/>
      <c r="T838" s="42"/>
      <c r="U838" s="42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33"/>
      <c r="T839" s="42"/>
      <c r="U839" s="42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33"/>
      <c r="T840" s="42"/>
      <c r="U840" s="42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33"/>
      <c r="T841" s="42"/>
      <c r="U841" s="42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33"/>
      <c r="T842" s="42"/>
      <c r="U842" s="42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33"/>
      <c r="T843" s="42"/>
      <c r="U843" s="42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33"/>
      <c r="T844" s="42"/>
      <c r="U844" s="42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33"/>
      <c r="T845" s="42"/>
      <c r="U845" s="42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33"/>
      <c r="T846" s="42"/>
      <c r="U846" s="42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33"/>
      <c r="T847" s="42"/>
      <c r="U847" s="42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33"/>
      <c r="T848" s="42"/>
      <c r="U848" s="42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33"/>
      <c r="T849" s="42"/>
      <c r="U849" s="42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33"/>
      <c r="T850" s="42"/>
      <c r="U850" s="42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33"/>
      <c r="T851" s="42"/>
      <c r="U851" s="42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33"/>
      <c r="T852" s="42"/>
      <c r="U852" s="42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33"/>
      <c r="T853" s="42"/>
      <c r="U853" s="42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33"/>
      <c r="T854" s="42"/>
      <c r="U854" s="42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33"/>
      <c r="T855" s="42"/>
      <c r="U855" s="42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33"/>
      <c r="T856" s="42"/>
      <c r="U856" s="42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33"/>
      <c r="T857" s="42"/>
      <c r="U857" s="42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33"/>
      <c r="T858" s="42"/>
      <c r="U858" s="42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33"/>
      <c r="T859" s="42"/>
      <c r="U859" s="42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33"/>
      <c r="T860" s="42"/>
      <c r="U860" s="42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33"/>
      <c r="T861" s="42"/>
      <c r="U861" s="42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33"/>
      <c r="T862" s="42"/>
      <c r="U862" s="42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33"/>
      <c r="T863" s="42"/>
      <c r="U863" s="42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33"/>
      <c r="T864" s="42"/>
      <c r="U864" s="42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33"/>
      <c r="T865" s="42"/>
      <c r="U865" s="42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33"/>
      <c r="T866" s="42"/>
      <c r="U866" s="42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33"/>
      <c r="T867" s="42"/>
      <c r="U867" s="42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33"/>
      <c r="T868" s="42"/>
      <c r="U868" s="42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33"/>
      <c r="T869" s="42"/>
      <c r="U869" s="42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33"/>
      <c r="T870" s="42"/>
      <c r="U870" s="42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33"/>
      <c r="T871" s="42"/>
      <c r="U871" s="42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33"/>
      <c r="T872" s="42"/>
      <c r="U872" s="42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33"/>
      <c r="T873" s="42"/>
      <c r="U873" s="42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33"/>
      <c r="T874" s="42"/>
      <c r="U874" s="42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33"/>
      <c r="T875" s="42"/>
      <c r="U875" s="42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33"/>
      <c r="T876" s="42"/>
      <c r="U876" s="42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33"/>
      <c r="T877" s="42"/>
      <c r="U877" s="42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33"/>
      <c r="T878" s="42"/>
      <c r="U878" s="42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33"/>
      <c r="T879" s="42"/>
      <c r="U879" s="42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33"/>
      <c r="T880" s="42"/>
      <c r="U880" s="42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33"/>
      <c r="T881" s="42"/>
      <c r="U881" s="42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33"/>
      <c r="T882" s="42"/>
      <c r="U882" s="42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33"/>
      <c r="T883" s="42"/>
      <c r="U883" s="42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33"/>
      <c r="T884" s="42"/>
      <c r="U884" s="42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33"/>
      <c r="T885" s="42"/>
      <c r="U885" s="42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33"/>
      <c r="T886" s="42"/>
      <c r="U886" s="42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33"/>
      <c r="T887" s="42"/>
      <c r="U887" s="42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33"/>
      <c r="T888" s="42"/>
      <c r="U888" s="42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33"/>
      <c r="T889" s="42"/>
      <c r="U889" s="42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33"/>
      <c r="T890" s="42"/>
      <c r="U890" s="42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33"/>
      <c r="T891" s="42"/>
      <c r="U891" s="42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33"/>
      <c r="T892" s="42"/>
      <c r="U892" s="42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33"/>
      <c r="T893" s="42"/>
      <c r="U893" s="42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33"/>
      <c r="T894" s="42"/>
      <c r="U894" s="42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33"/>
      <c r="T895" s="42"/>
      <c r="U895" s="42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33"/>
      <c r="T896" s="42"/>
      <c r="U896" s="42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33"/>
      <c r="T897" s="42"/>
      <c r="U897" s="42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33"/>
      <c r="T898" s="42"/>
      <c r="U898" s="42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33"/>
      <c r="T899" s="42"/>
      <c r="U899" s="42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33"/>
      <c r="T900" s="42"/>
      <c r="U900" s="42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33"/>
      <c r="T901" s="42"/>
      <c r="U901" s="42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33"/>
      <c r="T902" s="42"/>
      <c r="U902" s="42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33"/>
      <c r="T903" s="42"/>
      <c r="U903" s="42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33"/>
      <c r="T904" s="42"/>
      <c r="U904" s="42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33"/>
      <c r="T905" s="42"/>
      <c r="U905" s="42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33"/>
      <c r="T906" s="42"/>
      <c r="U906" s="42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33"/>
      <c r="T907" s="42"/>
      <c r="U907" s="42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33"/>
      <c r="T908" s="42"/>
      <c r="U908" s="42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33"/>
      <c r="T909" s="42"/>
      <c r="U909" s="42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33"/>
      <c r="T910" s="42"/>
      <c r="U910" s="42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33"/>
      <c r="T911" s="42"/>
      <c r="U911" s="42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33"/>
      <c r="T912" s="42"/>
      <c r="U912" s="42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33"/>
      <c r="T913" s="42"/>
      <c r="U913" s="42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33"/>
      <c r="T914" s="42"/>
      <c r="U914" s="42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33"/>
      <c r="T915" s="42"/>
      <c r="U915" s="42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33"/>
      <c r="T916" s="42"/>
      <c r="U916" s="42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33"/>
      <c r="T917" s="42"/>
      <c r="U917" s="42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33"/>
      <c r="T918" s="42"/>
      <c r="U918" s="42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33"/>
      <c r="T919" s="42"/>
      <c r="U919" s="42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33"/>
      <c r="T920" s="42"/>
      <c r="U920" s="42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33"/>
      <c r="T921" s="42"/>
      <c r="U921" s="42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33"/>
      <c r="T922" s="42"/>
      <c r="U922" s="42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33"/>
      <c r="T923" s="42"/>
      <c r="U923" s="42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33"/>
      <c r="T924" s="42"/>
      <c r="U924" s="42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33"/>
      <c r="T925" s="42"/>
      <c r="U925" s="42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33"/>
      <c r="T926" s="42"/>
      <c r="U926" s="42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33"/>
      <c r="T927" s="42"/>
      <c r="U927" s="42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33"/>
      <c r="T928" s="42"/>
      <c r="U928" s="42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33"/>
      <c r="T929" s="42"/>
      <c r="U929" s="42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33"/>
      <c r="T930" s="42"/>
      <c r="U930" s="42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33"/>
      <c r="T931" s="42"/>
      <c r="U931" s="42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33"/>
      <c r="T932" s="42"/>
      <c r="U932" s="42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33"/>
      <c r="T933" s="42"/>
      <c r="U933" s="42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33"/>
      <c r="T934" s="42"/>
      <c r="U934" s="42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33"/>
      <c r="T935" s="42"/>
      <c r="U935" s="42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33"/>
      <c r="T936" s="42"/>
      <c r="U936" s="42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33"/>
      <c r="T937" s="42"/>
      <c r="U937" s="42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33"/>
      <c r="T938" s="42"/>
      <c r="U938" s="42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33"/>
      <c r="T939" s="42"/>
      <c r="U939" s="42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33"/>
      <c r="T940" s="42"/>
      <c r="U940" s="42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33"/>
      <c r="T941" s="42"/>
      <c r="U941" s="42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33"/>
      <c r="T942" s="42"/>
      <c r="U942" s="42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33"/>
      <c r="T943" s="42"/>
      <c r="U943" s="42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33"/>
      <c r="T944" s="42"/>
      <c r="U944" s="42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33"/>
      <c r="T945" s="42"/>
      <c r="U945" s="42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33"/>
      <c r="T946" s="42"/>
      <c r="U946" s="42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33"/>
      <c r="T947" s="42"/>
      <c r="U947" s="42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33"/>
      <c r="T948" s="42"/>
      <c r="U948" s="42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33"/>
      <c r="T949" s="42"/>
      <c r="U949" s="42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33"/>
      <c r="T950" s="42"/>
      <c r="U950" s="42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33"/>
      <c r="T951" s="42"/>
      <c r="U951" s="42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33"/>
      <c r="T952" s="42"/>
      <c r="U952" s="42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33"/>
      <c r="T953" s="42"/>
      <c r="U953" s="42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33"/>
      <c r="T954" s="42"/>
      <c r="U954" s="42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33"/>
      <c r="T955" s="42"/>
      <c r="U955" s="42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33"/>
      <c r="T956" s="42"/>
      <c r="U956" s="42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33"/>
      <c r="T957" s="42"/>
      <c r="U957" s="42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33"/>
      <c r="T958" s="42"/>
      <c r="U958" s="42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33"/>
      <c r="T959" s="42"/>
      <c r="U959" s="42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33"/>
      <c r="T960" s="42"/>
      <c r="U960" s="42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33"/>
      <c r="T961" s="42"/>
      <c r="U961" s="42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33"/>
      <c r="T962" s="42"/>
      <c r="U962" s="42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33"/>
      <c r="T963" s="42"/>
      <c r="U963" s="42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33"/>
      <c r="T964" s="42"/>
      <c r="U964" s="42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33"/>
      <c r="T965" s="42"/>
      <c r="U965" s="42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33"/>
      <c r="T966" s="42"/>
      <c r="U966" s="42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33"/>
      <c r="T967" s="42"/>
      <c r="U967" s="42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33"/>
      <c r="T968" s="42"/>
      <c r="U968" s="42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33"/>
      <c r="T969" s="42"/>
      <c r="U969" s="42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33"/>
      <c r="T970" s="42"/>
      <c r="U970" s="42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33"/>
      <c r="T971" s="42"/>
      <c r="U971" s="42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33"/>
      <c r="T972" s="42"/>
      <c r="U972" s="42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33"/>
      <c r="T973" s="42"/>
      <c r="U973" s="42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33"/>
      <c r="T974" s="42"/>
      <c r="U974" s="42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33"/>
      <c r="T975" s="42"/>
      <c r="U975" s="42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33"/>
      <c r="T976" s="42"/>
      <c r="U976" s="42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33"/>
      <c r="T977" s="42"/>
      <c r="U977" s="42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33"/>
      <c r="T978" s="42"/>
      <c r="U978" s="42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33"/>
      <c r="T979" s="42"/>
      <c r="U979" s="42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33"/>
      <c r="T980" s="42"/>
      <c r="U980" s="42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33"/>
      <c r="T981" s="42"/>
      <c r="U981" s="42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33"/>
      <c r="T982" s="42"/>
      <c r="U982" s="42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33"/>
      <c r="T983" s="42"/>
      <c r="U983" s="42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33"/>
      <c r="T984" s="42"/>
      <c r="U984" s="42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33"/>
      <c r="T985" s="42"/>
      <c r="U985" s="42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33"/>
      <c r="T986" s="42"/>
      <c r="U986" s="42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33"/>
      <c r="T987" s="42"/>
      <c r="U987" s="42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33"/>
      <c r="T988" s="42"/>
      <c r="U988" s="42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33"/>
      <c r="T989" s="42"/>
      <c r="U989" s="42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33"/>
      <c r="T990" s="42"/>
      <c r="U990" s="42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33"/>
      <c r="T991" s="42"/>
      <c r="U991" s="42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33"/>
      <c r="T992" s="42"/>
      <c r="U992" s="42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33"/>
      <c r="T993" s="42"/>
      <c r="U993" s="42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33"/>
      <c r="T994" s="42"/>
      <c r="U994" s="42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33"/>
      <c r="T995" s="42"/>
      <c r="U995" s="42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33"/>
      <c r="T996" s="42"/>
      <c r="U996" s="42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33"/>
      <c r="T997" s="42"/>
      <c r="U997" s="42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33"/>
      <c r="T998" s="42"/>
      <c r="U998" s="42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33"/>
      <c r="T999" s="42"/>
      <c r="U999" s="42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33"/>
      <c r="T1000" s="42"/>
      <c r="U1000" s="42"/>
      <c r="V1000" s="1"/>
      <c r="W1000" s="1"/>
      <c r="X1000" s="1"/>
      <c r="Y1000" s="1"/>
      <c r="Z1000" s="1"/>
    </row>
  </sheetData>
  <mergeCells count="4">
    <mergeCell ref="A1:X1"/>
    <mergeCell ref="A2:K2"/>
    <mergeCell ref="N2:W2"/>
    <mergeCell ref="A33:K33"/>
  </mergeCells>
  <pageMargins left="0.56000000000000005" right="0.25" top="0.27" bottom="0.2" header="0" footer="0"/>
  <pageSetup paperSize="9" scale="5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Excluding Other Income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v8</cp:lastModifiedBy>
  <dcterms:created xsi:type="dcterms:W3CDTF">2017-09-19T08:05:47Z</dcterms:created>
  <dcterms:modified xsi:type="dcterms:W3CDTF">2023-06-13T05:25:44Z</dcterms:modified>
</cp:coreProperties>
</file>