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21\Desktop\Deep\Summary Sheet\Q4\Valiant\"/>
    </mc:Choice>
  </mc:AlternateContent>
  <xr:revisionPtr revIDLastSave="0" documentId="13_ncr:1_{E567791B-2A25-471A-BAA4-081028D1D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Sheet" sheetId="3" r:id="rId1"/>
  </sheets>
  <definedNames>
    <definedName name="_xlnm.Print_Area" localSheetId="0">'Summary Sheet'!$A$1:$S$73</definedName>
  </definedNames>
  <calcPr calcId="181029"/>
</workbook>
</file>

<file path=xl/calcChain.xml><?xml version="1.0" encoding="utf-8"?>
<calcChain xmlns="http://schemas.openxmlformats.org/spreadsheetml/2006/main">
  <c r="T72" i="3" l="1"/>
  <c r="T71" i="3"/>
  <c r="T49" i="3"/>
  <c r="T70" i="3"/>
  <c r="T68" i="3"/>
  <c r="T69" i="3" s="1"/>
  <c r="S60" i="3"/>
  <c r="T60" i="3"/>
  <c r="T14" i="3"/>
  <c r="T30" i="3"/>
  <c r="I35" i="3"/>
  <c r="I34" i="3"/>
  <c r="I32" i="3"/>
  <c r="I31" i="3"/>
  <c r="I6" i="3"/>
  <c r="I5" i="3"/>
  <c r="T67" i="3"/>
  <c r="T66" i="3"/>
  <c r="T65" i="3"/>
  <c r="T55" i="3" l="1"/>
  <c r="T58" i="3" l="1"/>
  <c r="I55" i="3"/>
  <c r="I57" i="3"/>
  <c r="I48" i="3"/>
  <c r="I50" i="3" s="1"/>
  <c r="I44" i="3"/>
  <c r="I7" i="3"/>
  <c r="I13" i="3" s="1"/>
  <c r="H48" i="3"/>
  <c r="G48" i="3"/>
  <c r="F48" i="3"/>
  <c r="E48" i="3"/>
  <c r="D48" i="3"/>
  <c r="C48" i="3"/>
  <c r="B48" i="3"/>
  <c r="T26" i="3"/>
  <c r="T10" i="3"/>
  <c r="T13" i="3"/>
  <c r="T17" i="3"/>
  <c r="T35" i="3"/>
  <c r="T15" i="3" s="1"/>
  <c r="T43" i="3"/>
  <c r="I14" i="3" l="1"/>
  <c r="I15" i="3"/>
  <c r="I56" i="3"/>
  <c r="I58" i="3" s="1"/>
  <c r="T64" i="3"/>
  <c r="T63" i="3"/>
  <c r="T51" i="3"/>
  <c r="T56" i="3"/>
  <c r="T59" i="3" s="1"/>
  <c r="I21" i="3"/>
  <c r="T50" i="3"/>
  <c r="I16" i="3"/>
  <c r="S65" i="3"/>
  <c r="G35" i="3"/>
  <c r="H35" i="3"/>
  <c r="T62" i="3" l="1"/>
  <c r="I26" i="3"/>
  <c r="I23" i="3"/>
  <c r="I24" i="3"/>
  <c r="S66" i="3"/>
  <c r="S67" i="3"/>
  <c r="S68" i="3"/>
  <c r="H34" i="3"/>
  <c r="H7" i="3"/>
  <c r="H6" i="3"/>
  <c r="H5" i="3"/>
  <c r="I27" i="3" l="1"/>
  <c r="T61" i="3"/>
  <c r="I30" i="3"/>
  <c r="H21" i="3"/>
  <c r="H13" i="3"/>
  <c r="S69" i="3"/>
  <c r="S58" i="3"/>
  <c r="O68" i="3" l="1"/>
  <c r="O67" i="3"/>
  <c r="O66" i="3"/>
  <c r="O65" i="3"/>
  <c r="Q68" i="3"/>
  <c r="P68" i="3"/>
  <c r="Q67" i="3"/>
  <c r="P67" i="3"/>
  <c r="Q66" i="3"/>
  <c r="P66" i="3"/>
  <c r="R55" i="3"/>
  <c r="Q30" i="3"/>
  <c r="P30" i="3"/>
  <c r="E40" i="3"/>
  <c r="C40" i="3"/>
  <c r="D22" i="3"/>
  <c r="C22" i="3"/>
  <c r="B22" i="3"/>
  <c r="Q69" i="3" l="1"/>
  <c r="O69" i="3"/>
  <c r="P69" i="3"/>
  <c r="H55" i="3"/>
  <c r="G55" i="3"/>
  <c r="S35" i="3"/>
  <c r="R35" i="3"/>
  <c r="Q35" i="3"/>
  <c r="O35" i="3"/>
  <c r="N35" i="3"/>
  <c r="M35" i="3"/>
  <c r="P35" i="3"/>
  <c r="R10" i="3"/>
  <c r="R14" i="3" s="1"/>
  <c r="Q10" i="3"/>
  <c r="Q14" i="3" s="1"/>
  <c r="P10" i="3"/>
  <c r="P14" i="3" s="1"/>
  <c r="O10" i="3"/>
  <c r="O14" i="3" s="1"/>
  <c r="N10" i="3"/>
  <c r="N14" i="3" s="1"/>
  <c r="M10" i="3"/>
  <c r="M14" i="3" s="1"/>
  <c r="S10" i="3"/>
  <c r="R17" i="3"/>
  <c r="Q17" i="3"/>
  <c r="P17" i="3"/>
  <c r="O17" i="3"/>
  <c r="N17" i="3"/>
  <c r="M17" i="3"/>
  <c r="S17" i="3"/>
  <c r="S43" i="3"/>
  <c r="R43" i="3"/>
  <c r="Q43" i="3"/>
  <c r="P43" i="3"/>
  <c r="O43" i="3"/>
  <c r="N43" i="3"/>
  <c r="M43" i="3"/>
  <c r="B7" i="3"/>
  <c r="B13" i="3" s="1"/>
  <c r="C7" i="3"/>
  <c r="D7" i="3"/>
  <c r="E7" i="3"/>
  <c r="F7" i="3"/>
  <c r="G7" i="3"/>
  <c r="E21" i="3" l="1"/>
  <c r="E13" i="3"/>
  <c r="P72" i="3" s="1"/>
  <c r="D13" i="3"/>
  <c r="G21" i="3"/>
  <c r="G13" i="3"/>
  <c r="C21" i="3"/>
  <c r="C13" i="3"/>
  <c r="F13" i="3"/>
  <c r="Q72" i="3" s="1"/>
  <c r="D21" i="3"/>
  <c r="B21" i="3"/>
  <c r="F21" i="3"/>
  <c r="O72" i="3" l="1"/>
  <c r="F24" i="3"/>
  <c r="F26" i="3" s="1"/>
  <c r="F30" i="3" s="1"/>
  <c r="E24" i="3"/>
  <c r="E26" i="3" s="1"/>
  <c r="E30" i="3" s="1"/>
  <c r="D24" i="3"/>
  <c r="D26" i="3" s="1"/>
  <c r="D30" i="3" s="1"/>
  <c r="C24" i="3"/>
  <c r="C26" i="3" s="1"/>
  <c r="C30" i="3" s="1"/>
  <c r="G24" i="3"/>
  <c r="G26" i="3" s="1"/>
  <c r="G27" i="3" s="1"/>
  <c r="B24" i="3" l="1"/>
  <c r="B26" i="3" s="1"/>
  <c r="B30" i="3" l="1"/>
  <c r="M61" i="3"/>
  <c r="S13" i="3"/>
  <c r="H57" i="3"/>
  <c r="H44" i="3"/>
  <c r="S26" i="3"/>
  <c r="S50" i="3" s="1"/>
  <c r="S64" i="3" l="1"/>
  <c r="S71" i="3"/>
  <c r="S63" i="3"/>
  <c r="H56" i="3"/>
  <c r="H58" i="3" s="1"/>
  <c r="S51" i="3"/>
  <c r="S56" i="3"/>
  <c r="S59" i="3" s="1"/>
  <c r="S14" i="3"/>
  <c r="S62" i="3" s="1"/>
  <c r="G57" i="3"/>
  <c r="S15" i="3" l="1"/>
  <c r="S49" i="3"/>
  <c r="G34" i="3" l="1"/>
  <c r="F34" i="3"/>
  <c r="S72" i="3" l="1"/>
  <c r="G5" i="3"/>
  <c r="H15" i="3" l="1"/>
  <c r="H14" i="3"/>
  <c r="H24" i="3"/>
  <c r="H16" i="3"/>
  <c r="H50" i="3" l="1"/>
  <c r="H26" i="3"/>
  <c r="S61" i="3" s="1"/>
  <c r="H23" i="3"/>
  <c r="H27" i="3" l="1"/>
  <c r="H30" i="3"/>
  <c r="H32" i="3" l="1"/>
  <c r="G44" i="3"/>
  <c r="R65" i="3" l="1"/>
  <c r="Q65" i="3"/>
  <c r="R58" i="3"/>
  <c r="N68" i="3" l="1"/>
  <c r="C57" i="3"/>
  <c r="R66" i="3"/>
  <c r="N66" i="3"/>
  <c r="F55" i="3"/>
  <c r="E55" i="3"/>
  <c r="D55" i="3"/>
  <c r="C55" i="3"/>
  <c r="P65" i="3"/>
  <c r="N65" i="3"/>
  <c r="Q55" i="3"/>
  <c r="Q58" i="3" s="1"/>
  <c r="P55" i="3"/>
  <c r="P58" i="3" s="1"/>
  <c r="O55" i="3"/>
  <c r="O58" i="3" s="1"/>
  <c r="N55" i="3"/>
  <c r="N58" i="3" s="1"/>
  <c r="M55" i="3"/>
  <c r="F44" i="3"/>
  <c r="E44" i="3"/>
  <c r="D44" i="3"/>
  <c r="D45" i="3" s="1"/>
  <c r="C44" i="3"/>
  <c r="B44" i="3"/>
  <c r="E34" i="3"/>
  <c r="D34" i="3"/>
  <c r="C34" i="3"/>
  <c r="F57" i="3"/>
  <c r="D57" i="3"/>
  <c r="R26" i="3"/>
  <c r="R50" i="3" s="1"/>
  <c r="R15" i="3" s="1"/>
  <c r="Q26" i="3"/>
  <c r="Q50" i="3" s="1"/>
  <c r="Q15" i="3" s="1"/>
  <c r="P26" i="3"/>
  <c r="P50" i="3" s="1"/>
  <c r="P15" i="3" s="1"/>
  <c r="N26" i="3"/>
  <c r="N50" i="3" s="1"/>
  <c r="N15" i="3" s="1"/>
  <c r="M26" i="3"/>
  <c r="M50" i="3" s="1"/>
  <c r="M15" i="3" s="1"/>
  <c r="R13" i="3"/>
  <c r="Q13" i="3"/>
  <c r="Q71" i="3" s="1"/>
  <c r="P13" i="3"/>
  <c r="P71" i="3" s="1"/>
  <c r="O13" i="3"/>
  <c r="O71" i="3" s="1"/>
  <c r="N13" i="3"/>
  <c r="M13" i="3"/>
  <c r="N67" i="3"/>
  <c r="N56" i="3"/>
  <c r="N59" i="3" s="1"/>
  <c r="G6" i="3"/>
  <c r="F5" i="3"/>
  <c r="E5" i="3"/>
  <c r="D5" i="3"/>
  <c r="C5" i="3"/>
  <c r="R49" i="3" l="1"/>
  <c r="S70" i="3" s="1"/>
  <c r="G14" i="3"/>
  <c r="O26" i="3"/>
  <c r="R68" i="3"/>
  <c r="E50" i="3"/>
  <c r="F14" i="3"/>
  <c r="F16" i="3"/>
  <c r="R72" i="3"/>
  <c r="G16" i="3"/>
  <c r="G15" i="3"/>
  <c r="G23" i="3"/>
  <c r="B16" i="3"/>
  <c r="E23" i="3"/>
  <c r="E16" i="3"/>
  <c r="R56" i="3"/>
  <c r="F56" i="3"/>
  <c r="F58" i="3" s="1"/>
  <c r="Q64" i="3"/>
  <c r="Q63" i="3"/>
  <c r="P56" i="3"/>
  <c r="P59" i="3" s="1"/>
  <c r="O64" i="3"/>
  <c r="O63" i="3"/>
  <c r="D56" i="3"/>
  <c r="D58" i="3" s="1"/>
  <c r="R71" i="3"/>
  <c r="G56" i="3"/>
  <c r="G58" i="3" s="1"/>
  <c r="R64" i="3"/>
  <c r="R63" i="3"/>
  <c r="E14" i="3"/>
  <c r="E57" i="3"/>
  <c r="M51" i="3"/>
  <c r="P51" i="3"/>
  <c r="M49" i="3"/>
  <c r="Q56" i="3"/>
  <c r="N51" i="3"/>
  <c r="Q51" i="3"/>
  <c r="R67" i="3"/>
  <c r="N69" i="3"/>
  <c r="M64" i="3"/>
  <c r="M71" i="3"/>
  <c r="M63" i="3"/>
  <c r="P63" i="3"/>
  <c r="E56" i="3"/>
  <c r="P64" i="3"/>
  <c r="O51" i="3"/>
  <c r="P49" i="3"/>
  <c r="O56" i="3"/>
  <c r="O59" i="3" s="1"/>
  <c r="N64" i="3"/>
  <c r="N71" i="3"/>
  <c r="N63" i="3"/>
  <c r="C56" i="3"/>
  <c r="C58" i="3" s="1"/>
  <c r="N49" i="3"/>
  <c r="Q49" i="3"/>
  <c r="Q70" i="3" l="1"/>
  <c r="O50" i="3"/>
  <c r="O15" i="3" s="1"/>
  <c r="R51" i="3"/>
  <c r="B45" i="3"/>
  <c r="C45" i="3" s="1"/>
  <c r="O49" i="3"/>
  <c r="P70" i="3" s="1"/>
  <c r="N60" i="3"/>
  <c r="R60" i="3"/>
  <c r="R69" i="3"/>
  <c r="R59" i="3"/>
  <c r="E58" i="3"/>
  <c r="P60" i="3" s="1"/>
  <c r="R70" i="3"/>
  <c r="N72" i="3"/>
  <c r="D16" i="3"/>
  <c r="D14" i="3"/>
  <c r="P62" i="3"/>
  <c r="M62" i="3"/>
  <c r="B50" i="3"/>
  <c r="B23" i="3"/>
  <c r="O60" i="3"/>
  <c r="Q60" i="3"/>
  <c r="Q62" i="3"/>
  <c r="F23" i="3"/>
  <c r="M72" i="3"/>
  <c r="C14" i="3"/>
  <c r="C16" i="3"/>
  <c r="Q59" i="3"/>
  <c r="N70" i="3"/>
  <c r="R62" i="3"/>
  <c r="O70" i="3" l="1"/>
  <c r="E45" i="3"/>
  <c r="F45" i="3" s="1"/>
  <c r="G40" i="3" s="1"/>
  <c r="G50" i="3"/>
  <c r="B27" i="3"/>
  <c r="P61" i="3"/>
  <c r="E27" i="3"/>
  <c r="R61" i="3"/>
  <c r="G30" i="3"/>
  <c r="Q61" i="3"/>
  <c r="F27" i="3"/>
  <c r="O62" i="3"/>
  <c r="D23" i="3"/>
  <c r="C23" i="3"/>
  <c r="N62" i="3"/>
  <c r="F50" i="3"/>
  <c r="H31" i="3" l="1"/>
  <c r="G32" i="3"/>
  <c r="G45" i="3"/>
  <c r="H40" i="3" s="1"/>
  <c r="D50" i="3"/>
  <c r="C50" i="3"/>
  <c r="G31" i="3"/>
  <c r="O61" i="3"/>
  <c r="D27" i="3"/>
  <c r="N61" i="3"/>
  <c r="C31" i="3"/>
  <c r="C27" i="3"/>
  <c r="F31" i="3"/>
  <c r="H45" i="3" l="1"/>
  <c r="I40" i="3" s="1"/>
  <c r="I45" i="3" s="1"/>
  <c r="D31" i="3"/>
  <c r="E31" i="3"/>
</calcChain>
</file>

<file path=xl/sharedStrings.xml><?xml version="1.0" encoding="utf-8"?>
<sst xmlns="http://schemas.openxmlformats.org/spreadsheetml/2006/main" count="188" uniqueCount="123">
  <si>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</si>
  <si>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</si>
  <si>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</si>
  <si>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</si>
  <si>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</si>
  <si>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</si>
  <si>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</si>
  <si>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</si>
  <si>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</si>
  <si>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</si>
  <si>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</si>
  <si>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</si>
  <si>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</si>
  <si>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</si>
  <si>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</si>
  <si>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</si>
  <si>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</si>
  <si>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</si>
  <si>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</si>
  <si>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</si>
  <si>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</si>
  <si>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</si>
  <si>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</si>
  <si>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</si>
  <si>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</si>
  <si>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</si>
  <si>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</si>
  <si>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</si>
  <si>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</si>
  <si>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</si>
  <si>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Long Term Debt</t>
  </si>
  <si>
    <t>Short Term Debt</t>
  </si>
  <si>
    <t>Loans</t>
  </si>
  <si>
    <t>Capital Employed</t>
  </si>
  <si>
    <t>Inventories</t>
  </si>
  <si>
    <t>Cash &amp; Bank Balances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</si>
  <si>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</si>
  <si>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</si>
  <si>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</si>
  <si>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</si>
  <si>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</si>
  <si>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</si>
  <si>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</si>
  <si>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</si>
  <si>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</si>
  <si>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</si>
  <si>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</si>
  <si>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</si>
  <si>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</si>
  <si>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</si>
  <si>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</si>
  <si>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</si>
  <si>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</si>
  <si>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</si>
  <si>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</si>
  <si>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</si>
  <si>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</si>
  <si>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</si>
  <si>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</si>
  <si>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</si>
  <si>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</si>
  <si>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</si>
  <si>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</si>
  <si>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</si>
  <si>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</si>
  <si>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</si>
  <si>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</si>
  <si>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</si>
  <si>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CAGR (%) - 5 Years</t>
  </si>
  <si>
    <t>NA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</si>
  <si>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</si>
  <si>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</si>
  <si>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</si>
  <si>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</si>
  <si>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</si>
  <si>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</si>
  <si>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</si>
  <si>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Long Term Loans and Advances</t>
  </si>
  <si>
    <t>Other Non-current Assets</t>
  </si>
  <si>
    <t>Short Term Loans &amp; Advances</t>
  </si>
  <si>
    <t>Provisions</t>
  </si>
  <si>
    <t>Other Current Liabilities</t>
  </si>
  <si>
    <t>Other Long term Provision</t>
  </si>
  <si>
    <t>FY19</t>
  </si>
  <si>
    <t>Cash Conversion Cycle</t>
  </si>
  <si>
    <t>Interest Coverage Ratio</t>
  </si>
  <si>
    <t>Working Capital Cycle</t>
  </si>
  <si>
    <t>Gross Block</t>
  </si>
  <si>
    <t>Credit Rating</t>
  </si>
  <si>
    <t>Other Financial Liabilities</t>
  </si>
  <si>
    <t>FY20</t>
  </si>
  <si>
    <t>Current Tax Assets</t>
  </si>
  <si>
    <t>FY21</t>
  </si>
  <si>
    <t>CMP</t>
  </si>
  <si>
    <t>Total Revenue</t>
  </si>
  <si>
    <t>Account Receivable</t>
  </si>
  <si>
    <t>Cost of material consumed</t>
  </si>
  <si>
    <t>Purchase of stock-in-trade</t>
  </si>
  <si>
    <t>PAT (Before Merger)</t>
  </si>
  <si>
    <t>Impact of Merger</t>
  </si>
  <si>
    <t xml:space="preserve">Non Controlling Interests </t>
  </si>
  <si>
    <t xml:space="preserve">Optionally Convertible Preference Shares </t>
  </si>
  <si>
    <t>NON-CURRENT ASSETS</t>
  </si>
  <si>
    <t xml:space="preserve">Lease Liabilities </t>
  </si>
  <si>
    <t>CURRENT ASSETS</t>
  </si>
  <si>
    <t xml:space="preserve">CURRENT LIABILITIES </t>
  </si>
  <si>
    <t xml:space="preserve">NON CURRENT LIABILITIES </t>
  </si>
  <si>
    <t>Right of Use Assets</t>
  </si>
  <si>
    <t>Goodwill</t>
  </si>
  <si>
    <t>Other Intangible Assets</t>
  </si>
  <si>
    <t xml:space="preserve">Other Investments </t>
  </si>
  <si>
    <t>Investments</t>
  </si>
  <si>
    <t xml:space="preserve">Property, Plant and Equipment </t>
  </si>
  <si>
    <t>Other Financial assets</t>
  </si>
  <si>
    <t>Share Capital Pending Allotment</t>
  </si>
  <si>
    <t>Current Tax Liabilities</t>
  </si>
  <si>
    <t>Share Suspense Account pending allotment upon Scheme of
Amalgamation</t>
  </si>
  <si>
    <t xml:space="preserve"> CRISIL A-/Positive (Assigned)</t>
  </si>
  <si>
    <t>Valiant Organics Ltd.</t>
  </si>
  <si>
    <t>FY22</t>
  </si>
  <si>
    <t>PAT (After Merger)</t>
  </si>
  <si>
    <t>FY23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</si>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</sst>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4" fillId="0" borderId="0" xfId="0" applyFont="1"/>
    <xf numFmtId="168" fontId="3" fillId="0" borderId="1" xfId="2" applyNumberFormat="1" applyFont="1" applyFill="1" applyBorder="1"/>
    <xf numFmtId="165" fontId="4" fillId="0" borderId="1" xfId="0" applyNumberFormat="1" applyFont="1" applyBorder="1"/>
    <xf numFmtId="165" fontId="4" fillId="0" borderId="0" xfId="0" applyNumberFormat="1" applyFont="1"/>
    <xf numFmtId="168" fontId="4" fillId="0" borderId="1" xfId="2" applyNumberFormat="1" applyFont="1" applyFill="1" applyBorder="1"/>
    <xf numFmtId="43" fontId="4" fillId="0" borderId="1" xfId="2" applyFont="1" applyFill="1" applyBorder="1"/>
    <xf numFmtId="0" fontId="4" fillId="0" borderId="1" xfId="0" applyFont="1" applyBorder="1"/>
    <xf numFmtId="1" fontId="4" fillId="0" borderId="1" xfId="0" applyNumberFormat="1" applyFont="1" applyBorder="1"/>
    <xf numFmtId="168" fontId="4" fillId="0" borderId="0" xfId="2" applyNumberFormat="1" applyFont="1" applyBorder="1"/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168" fontId="4" fillId="4" borderId="0" xfId="2" applyNumberFormat="1" applyFont="1" applyFill="1" applyBorder="1"/>
    <xf numFmtId="43" fontId="4" fillId="0" borderId="0" xfId="0" applyNumberFormat="1" applyFont="1"/>
    <xf numFmtId="168" fontId="4" fillId="0" borderId="0" xfId="0" applyNumberFormat="1" applyFont="1"/>
    <xf numFmtId="167" fontId="4" fillId="0" borderId="0" xfId="0" applyNumberFormat="1" applyFont="1"/>
    <xf numFmtId="167" fontId="4" fillId="0" borderId="1" xfId="2" applyNumberFormat="1" applyFont="1" applyFill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0" fontId="4" fillId="0" borderId="0" xfId="1" applyNumberFormat="1" applyFont="1" applyFill="1" applyBorder="1"/>
    <xf numFmtId="0" fontId="4" fillId="0" borderId="1" xfId="3" applyFont="1" applyBorder="1"/>
    <xf numFmtId="43" fontId="3" fillId="0" borderId="1" xfId="2" applyFont="1" applyFill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168" fontId="3" fillId="3" borderId="1" xfId="2" applyNumberFormat="1" applyFont="1" applyFill="1" applyBorder="1"/>
    <xf numFmtId="0" fontId="6" fillId="3" borderId="1" xfId="0" applyFont="1" applyFill="1" applyBorder="1"/>
    <xf numFmtId="166" fontId="6" fillId="3" borderId="1" xfId="0" applyNumberFormat="1" applyFont="1" applyFill="1" applyBorder="1"/>
    <xf numFmtId="10" fontId="3" fillId="3" borderId="1" xfId="0" applyNumberFormat="1" applyFont="1" applyFill="1" applyBorder="1"/>
    <xf numFmtId="10" fontId="6" fillId="3" borderId="1" xfId="0" applyNumberFormat="1" applyFont="1" applyFill="1" applyBorder="1"/>
    <xf numFmtId="10" fontId="3" fillId="3" borderId="1" xfId="1" applyNumberFormat="1" applyFont="1" applyFill="1" applyBorder="1"/>
    <xf numFmtId="166" fontId="6" fillId="3" borderId="1" xfId="1" applyNumberFormat="1" applyFont="1" applyFill="1" applyBorder="1"/>
    <xf numFmtId="43" fontId="3" fillId="3" borderId="1" xfId="2" applyFont="1" applyFill="1" applyBorder="1"/>
    <xf numFmtId="43" fontId="4" fillId="3" borderId="1" xfId="2" applyFont="1" applyFill="1" applyBorder="1"/>
    <xf numFmtId="2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167" fontId="4" fillId="3" borderId="1" xfId="2" applyNumberFormat="1" applyFont="1" applyFill="1" applyBorder="1"/>
    <xf numFmtId="43" fontId="4" fillId="3" borderId="1" xfId="0" applyNumberFormat="1" applyFont="1" applyFill="1" applyBorder="1" applyAlignment="1">
      <alignment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43" fontId="3" fillId="0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43" fontId="3" fillId="3" borderId="1" xfId="2" applyFont="1" applyFill="1" applyBorder="1" applyAlignment="1">
      <alignment horizontal="right"/>
    </xf>
    <xf numFmtId="43" fontId="4" fillId="0" borderId="1" xfId="2" applyFont="1" applyFill="1" applyBorder="1" applyAlignment="1">
      <alignment horizontal="right"/>
    </xf>
    <xf numFmtId="164" fontId="4" fillId="0" borderId="0" xfId="0" applyNumberFormat="1" applyFont="1"/>
    <xf numFmtId="10" fontId="4" fillId="0" borderId="0" xfId="0" applyNumberFormat="1" applyFont="1"/>
    <xf numFmtId="10" fontId="3" fillId="0" borderId="1" xfId="0" applyNumberFormat="1" applyFont="1" applyBorder="1"/>
    <xf numFmtId="10" fontId="4" fillId="3" borderId="1" xfId="2" applyNumberFormat="1" applyFont="1" applyFill="1" applyBorder="1" applyAlignment="1">
      <alignment horizontal="right"/>
    </xf>
    <xf numFmtId="10" fontId="4" fillId="3" borderId="1" xfId="2" applyNumberFormat="1" applyFont="1" applyFill="1" applyBorder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168" fontId="3" fillId="5" borderId="1" xfId="2" applyNumberFormat="1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Fill="1" applyBorder="1"/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81"/>
  <sheetViews>
    <sheetView tabSelected="1" topLeftCell="G1" zoomScaleNormal="100" zoomScaleSheetLayoutView="91" workbookViewId="0">
      <selection activeCell="S10" sqref="S10"/>
    </sheetView>
  </sheetViews>
  <sheetFormatPr defaultColWidth="9.140625" defaultRowHeight="15" customHeight="1" x14ac:dyDescent="0.2"/>
  <cols>
    <col min="1" max="1" width="49" style="1" bestFit="1" customWidth="1"/>
    <col min="2" max="2" width="14.28515625" style="1" bestFit="1" customWidth="1"/>
    <col min="3" max="3" width="14.5703125" style="1" bestFit="1" customWidth="1"/>
    <col min="4" max="4" width="15.5703125" style="1" bestFit="1" customWidth="1"/>
    <col min="5" max="5" width="11.140625" style="1" bestFit="1" customWidth="1"/>
    <col min="6" max="9" width="12" style="1" bestFit="1" customWidth="1"/>
    <col min="10" max="10" width="4.7109375" style="1" customWidth="1"/>
    <col min="11" max="11" width="3.85546875" style="1" customWidth="1"/>
    <col min="12" max="12" width="40.28515625" style="1" bestFit="1" customWidth="1"/>
    <col min="13" max="13" width="9" style="1" customWidth="1"/>
    <col min="14" max="14" width="8.85546875" style="1" customWidth="1"/>
    <col min="15" max="15" width="9.140625" style="4" customWidth="1"/>
    <col min="16" max="16" width="8.42578125" style="9" customWidth="1"/>
    <col min="17" max="17" width="9.7109375" style="9" customWidth="1"/>
    <col min="18" max="18" width="12" style="1" bestFit="1" customWidth="1"/>
    <col min="19" max="19" width="9.140625" style="1" customWidth="1"/>
    <col min="20" max="20" width="10.85546875" style="1" bestFit="1" customWidth="1"/>
    <col min="21" max="21" width="14.85546875" style="1" bestFit="1" customWidth="1"/>
    <col min="22" max="16384" width="9.140625" style="1"/>
  </cols>
  <sheetData>
    <row r="1" spans="1:21" ht="15" customHeight="1" x14ac:dyDescent="0.2">
      <c r="A1" s="61" t="s">
        <v>118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52"/>
    </row>
    <row r="2" spans="1:21" ht="15" customHeight="1" x14ac:dyDescent="0.2">
      <c r="A2" s="59" t="s">
        <v>72</v>
      </c>
      <c r="B2" s="60"/>
      <c r="C2" s="60"/>
      <c r="D2" s="60"/>
      <c r="E2" s="60"/>
      <c r="F2" s="60"/>
      <c r="G2" s="60"/>
      <c r="H2" s="60"/>
      <c r="I2" s="53"/>
      <c r="J2" s="11"/>
      <c r="K2" s="11"/>
      <c r="L2" s="62" t="s">
        <v>73</v>
      </c>
      <c r="M2" s="63"/>
      <c r="N2" s="63"/>
      <c r="O2" s="63"/>
      <c r="P2" s="63"/>
      <c r="Q2" s="63"/>
      <c r="R2" s="63"/>
      <c r="S2" s="63"/>
      <c r="T2" s="54"/>
    </row>
    <row r="3" spans="1:21" ht="15" customHeight="1" x14ac:dyDescent="0.2">
      <c r="A3" s="39" t="s">
        <v>0</v>
      </c>
      <c r="B3" s="55" t="s">
        <v>25</v>
      </c>
      <c r="C3" s="55" t="s">
        <v>26</v>
      </c>
      <c r="D3" s="55" t="s">
        <v>66</v>
      </c>
      <c r="E3" s="55" t="s">
        <v>83</v>
      </c>
      <c r="F3" s="55" t="s">
        <v>90</v>
      </c>
      <c r="G3" s="55" t="s">
        <v>92</v>
      </c>
      <c r="H3" s="55" t="s">
        <v>119</v>
      </c>
      <c r="I3" s="55" t="s">
        <v>121</v>
      </c>
      <c r="J3" s="11"/>
      <c r="K3" s="11"/>
      <c r="L3" s="39" t="s">
        <v>0</v>
      </c>
      <c r="M3" s="55" t="s">
        <v>25</v>
      </c>
      <c r="N3" s="55" t="s">
        <v>26</v>
      </c>
      <c r="O3" s="58" t="s">
        <v>66</v>
      </c>
      <c r="P3" s="56" t="s">
        <v>83</v>
      </c>
      <c r="Q3" s="56" t="s">
        <v>90</v>
      </c>
      <c r="R3" s="56" t="s">
        <v>92</v>
      </c>
      <c r="S3" s="56" t="s">
        <v>119</v>
      </c>
      <c r="T3" s="56" t="s">
        <v>121</v>
      </c>
    </row>
    <row r="4" spans="1:21" ht="15" customHeight="1" x14ac:dyDescent="0.2">
      <c r="A4" s="24" t="s">
        <v>94</v>
      </c>
      <c r="B4" s="25">
        <v>534.76113099999998</v>
      </c>
      <c r="C4" s="25">
        <v>748.84327800000005</v>
      </c>
      <c r="D4" s="25">
        <v>1221.292942</v>
      </c>
      <c r="E4" s="25">
        <v>7010.2929999999997</v>
      </c>
      <c r="F4" s="25">
        <v>6812.3740000000007</v>
      </c>
      <c r="G4" s="25">
        <v>7548</v>
      </c>
      <c r="H4" s="25">
        <v>11533</v>
      </c>
      <c r="I4" s="25">
        <v>10518.048000000001</v>
      </c>
      <c r="J4" s="20"/>
      <c r="K4" s="20"/>
      <c r="L4" s="7" t="s">
        <v>27</v>
      </c>
      <c r="M4" s="3">
        <v>36.403199999999998</v>
      </c>
      <c r="N4" s="3">
        <v>36.403199999999998</v>
      </c>
      <c r="O4" s="3">
        <v>58.643500000000003</v>
      </c>
      <c r="P4" s="3">
        <v>58.644000000000005</v>
      </c>
      <c r="Q4" s="3">
        <v>121.492</v>
      </c>
      <c r="R4" s="3">
        <v>271.53499999999997</v>
      </c>
      <c r="S4" s="3">
        <v>271.53500000000003</v>
      </c>
      <c r="T4" s="3">
        <v>271.53500000000003</v>
      </c>
    </row>
    <row r="5" spans="1:21" ht="15" customHeight="1" x14ac:dyDescent="0.2">
      <c r="A5" s="26" t="s">
        <v>1</v>
      </c>
      <c r="B5" s="27"/>
      <c r="C5" s="27">
        <f t="shared" ref="C5:I5" si="0">(C4/B4-1)</f>
        <v>0.40033228780047603</v>
      </c>
      <c r="D5" s="27">
        <f t="shared" si="0"/>
        <v>0.6309059290240433</v>
      </c>
      <c r="E5" s="27">
        <f t="shared" si="0"/>
        <v>4.7400585550915268</v>
      </c>
      <c r="F5" s="27">
        <f t="shared" si="0"/>
        <v>-2.8232628793118719E-2</v>
      </c>
      <c r="G5" s="27">
        <f t="shared" si="0"/>
        <v>0.10798379537001335</v>
      </c>
      <c r="H5" s="27">
        <f t="shared" si="0"/>
        <v>0.52795442501324863</v>
      </c>
      <c r="I5" s="27">
        <f t="shared" si="0"/>
        <v>-8.8004161969999051E-2</v>
      </c>
      <c r="L5" s="7" t="s">
        <v>101</v>
      </c>
      <c r="M5" s="5"/>
      <c r="N5" s="5"/>
      <c r="O5" s="5"/>
      <c r="P5" s="5">
        <v>0</v>
      </c>
      <c r="Q5" s="3">
        <v>18.331</v>
      </c>
      <c r="R5" s="3">
        <v>4.056</v>
      </c>
      <c r="S5" s="3">
        <v>4.056</v>
      </c>
      <c r="T5" s="3">
        <v>4.056</v>
      </c>
    </row>
    <row r="6" spans="1:21" ht="15" customHeight="1" x14ac:dyDescent="0.2">
      <c r="A6" s="26" t="s">
        <v>68</v>
      </c>
      <c r="B6" s="27"/>
      <c r="C6" s="27"/>
      <c r="D6" s="27"/>
      <c r="E6" s="27"/>
      <c r="F6" s="27"/>
      <c r="G6" s="27">
        <f>+((G4/B4)^(1/5)-1)</f>
        <v>0.69798719847392721</v>
      </c>
      <c r="H6" s="27">
        <f>+((H4/C4)^(1/5)-1)</f>
        <v>0.72786684487997944</v>
      </c>
      <c r="I6" s="27">
        <f>+((I4/D4)^(1/5)-1)</f>
        <v>0.53823631562868313</v>
      </c>
      <c r="L6" s="7" t="s">
        <v>116</v>
      </c>
      <c r="M6" s="5"/>
      <c r="N6" s="3">
        <v>22.240300000000001</v>
      </c>
      <c r="O6" s="5"/>
      <c r="P6" s="5"/>
      <c r="Q6" s="5"/>
      <c r="R6" s="5"/>
      <c r="S6" s="5"/>
      <c r="T6" s="5"/>
    </row>
    <row r="7" spans="1:21" ht="15" customHeight="1" x14ac:dyDescent="0.2">
      <c r="A7" s="24" t="s">
        <v>3</v>
      </c>
      <c r="B7" s="25">
        <f t="shared" ref="B7:F7" si="1">SUM(B8:B12,B18,B19)</f>
        <v>377.240319</v>
      </c>
      <c r="C7" s="25">
        <f t="shared" si="1"/>
        <v>569.75912199999993</v>
      </c>
      <c r="D7" s="25">
        <f t="shared" si="1"/>
        <v>968.95206900000005</v>
      </c>
      <c r="E7" s="25">
        <f t="shared" si="1"/>
        <v>5298.148000000002</v>
      </c>
      <c r="F7" s="25">
        <f t="shared" si="1"/>
        <v>5127.5030000000006</v>
      </c>
      <c r="G7" s="25">
        <f>SUM(G8:G12,G18,G19)</f>
        <v>5758.7959999999994</v>
      </c>
      <c r="H7" s="25">
        <f>SUM(H8:H12,H18,H19)</f>
        <v>9845.1800000000021</v>
      </c>
      <c r="I7" s="25">
        <f>SUM(I8:I12,I18,I19)</f>
        <v>9275.5499999999993</v>
      </c>
      <c r="L7" s="7" t="s">
        <v>114</v>
      </c>
      <c r="M7" s="5"/>
      <c r="N7" s="5"/>
      <c r="O7" s="5"/>
      <c r="P7" s="3">
        <v>81.179999999999993</v>
      </c>
      <c r="Q7" s="5"/>
      <c r="R7" s="5"/>
      <c r="S7" s="5"/>
      <c r="T7" s="5"/>
    </row>
    <row r="8" spans="1:21" ht="15" customHeight="1" x14ac:dyDescent="0.2">
      <c r="A8" s="7" t="s">
        <v>96</v>
      </c>
      <c r="B8" s="3">
        <v>235.196608</v>
      </c>
      <c r="C8" s="3">
        <v>421.619775</v>
      </c>
      <c r="D8" s="3">
        <v>769.98213199999998</v>
      </c>
      <c r="E8" s="3">
        <v>4175.6230000000005</v>
      </c>
      <c r="F8" s="3">
        <v>3851.9550000000004</v>
      </c>
      <c r="G8" s="3">
        <v>4065.67</v>
      </c>
      <c r="H8" s="3">
        <v>7808.88</v>
      </c>
      <c r="I8" s="3">
        <v>6796.0919999999996</v>
      </c>
      <c r="L8" s="7" t="s">
        <v>28</v>
      </c>
      <c r="M8" s="3">
        <v>191.12258600000001</v>
      </c>
      <c r="N8" s="3">
        <v>415.63292200000001</v>
      </c>
      <c r="O8" s="3">
        <v>533.13116100000002</v>
      </c>
      <c r="P8" s="3">
        <v>2757.826</v>
      </c>
      <c r="Q8" s="3">
        <v>3735.8330000000001</v>
      </c>
      <c r="R8" s="3">
        <v>4747.1190000000006</v>
      </c>
      <c r="S8" s="3">
        <v>5855.9</v>
      </c>
      <c r="T8" s="3">
        <v>6616.1809999999996</v>
      </c>
    </row>
    <row r="9" spans="1:21" ht="15" customHeight="1" x14ac:dyDescent="0.2">
      <c r="A9" s="7" t="s">
        <v>97</v>
      </c>
      <c r="B9" s="3">
        <v>0</v>
      </c>
      <c r="C9" s="3">
        <v>0.53251199999999999</v>
      </c>
      <c r="D9" s="3">
        <v>0</v>
      </c>
      <c r="E9" s="3">
        <v>114.21</v>
      </c>
      <c r="F9" s="3">
        <v>39.012999999999998</v>
      </c>
      <c r="G9" s="3">
        <v>153.94499999999999</v>
      </c>
      <c r="H9" s="3">
        <v>170.87</v>
      </c>
      <c r="I9" s="3">
        <v>138.52199999999999</v>
      </c>
      <c r="L9" s="7" t="s">
        <v>100</v>
      </c>
      <c r="M9" s="5"/>
      <c r="N9" s="5"/>
      <c r="O9" s="5"/>
      <c r="P9" s="3">
        <v>116.268</v>
      </c>
      <c r="Q9" s="3">
        <v>131.268</v>
      </c>
      <c r="R9" s="3">
        <v>63.012999999999998</v>
      </c>
      <c r="S9" s="3">
        <v>357.54</v>
      </c>
      <c r="T9" s="3">
        <v>508.85</v>
      </c>
    </row>
    <row r="10" spans="1:21" ht="15" customHeight="1" x14ac:dyDescent="0.2">
      <c r="A10" s="7" t="s">
        <v>74</v>
      </c>
      <c r="B10" s="3">
        <v>15.977713</v>
      </c>
      <c r="C10" s="3">
        <v>4.6200510000000001</v>
      </c>
      <c r="D10" s="3">
        <v>-26.344075</v>
      </c>
      <c r="E10" s="3">
        <v>-26.274999999999999</v>
      </c>
      <c r="F10" s="3">
        <v>40.247</v>
      </c>
      <c r="G10" s="3">
        <v>-98.3</v>
      </c>
      <c r="H10" s="3">
        <v>-225.57</v>
      </c>
      <c r="I10" s="3">
        <v>-49.851999999999997</v>
      </c>
      <c r="L10" s="24" t="s">
        <v>29</v>
      </c>
      <c r="M10" s="25">
        <f t="shared" ref="M10:S10" si="2">SUM(M4:M9)</f>
        <v>227.52578600000001</v>
      </c>
      <c r="N10" s="25">
        <f t="shared" si="2"/>
        <v>474.27642200000003</v>
      </c>
      <c r="O10" s="25">
        <f t="shared" si="2"/>
        <v>591.77466100000004</v>
      </c>
      <c r="P10" s="25">
        <f t="shared" si="2"/>
        <v>3013.9180000000001</v>
      </c>
      <c r="Q10" s="25">
        <f t="shared" si="2"/>
        <v>4006.924</v>
      </c>
      <c r="R10" s="25">
        <f t="shared" si="2"/>
        <v>5085.7230000000009</v>
      </c>
      <c r="S10" s="25">
        <f t="shared" si="2"/>
        <v>6489.0309999999999</v>
      </c>
      <c r="T10" s="25">
        <f t="shared" ref="T10" si="3">SUM(T4:T9)</f>
        <v>7400.6220000000003</v>
      </c>
    </row>
    <row r="11" spans="1:21" ht="15" customHeight="1" x14ac:dyDescent="0.2">
      <c r="A11" s="7" t="s">
        <v>53</v>
      </c>
      <c r="B11" s="3">
        <v>23.095053</v>
      </c>
      <c r="C11" s="3">
        <v>32.537860000000002</v>
      </c>
      <c r="D11" s="3">
        <v>47.750261000000002</v>
      </c>
      <c r="E11" s="3">
        <v>184.83099999999999</v>
      </c>
      <c r="F11" s="3">
        <v>227.84699999999998</v>
      </c>
      <c r="G11" s="3">
        <v>293.7</v>
      </c>
      <c r="H11" s="3">
        <v>371.6</v>
      </c>
      <c r="I11" s="3">
        <v>463.31599999999997</v>
      </c>
      <c r="L11" s="7" t="s">
        <v>30</v>
      </c>
      <c r="M11" s="5">
        <v>0</v>
      </c>
      <c r="N11" s="3">
        <v>3.087072</v>
      </c>
      <c r="O11" s="3">
        <v>3</v>
      </c>
      <c r="P11" s="3">
        <v>449.18599999999998</v>
      </c>
      <c r="Q11" s="3">
        <v>840.7639999999999</v>
      </c>
      <c r="R11" s="3">
        <v>750.65</v>
      </c>
      <c r="S11" s="3">
        <v>1057.68</v>
      </c>
      <c r="T11" s="3">
        <v>706.072</v>
      </c>
    </row>
    <row r="12" spans="1:21" ht="15" customHeight="1" x14ac:dyDescent="0.2">
      <c r="A12" s="7" t="s">
        <v>55</v>
      </c>
      <c r="B12" s="3">
        <v>88.851423999999994</v>
      </c>
      <c r="C12" s="3">
        <v>90.808244000000002</v>
      </c>
      <c r="D12" s="3">
        <v>150.98880800000001</v>
      </c>
      <c r="E12" s="3">
        <v>676.58199999999999</v>
      </c>
      <c r="F12" s="3">
        <v>787.51</v>
      </c>
      <c r="G12" s="3">
        <v>1081.402</v>
      </c>
      <c r="H12" s="3">
        <v>1358.42</v>
      </c>
      <c r="I12" s="3">
        <v>1527.652</v>
      </c>
      <c r="L12" s="7" t="s">
        <v>31</v>
      </c>
      <c r="M12" s="3">
        <v>9.7127379999999999</v>
      </c>
      <c r="N12" s="3">
        <v>2.7769020000000002</v>
      </c>
      <c r="O12" s="3">
        <v>3.2051989999999999</v>
      </c>
      <c r="P12" s="3">
        <v>326.12700000000001</v>
      </c>
      <c r="Q12" s="3">
        <v>406.35599999999999</v>
      </c>
      <c r="R12" s="3">
        <v>1329.66</v>
      </c>
      <c r="S12" s="3">
        <v>2568.06</v>
      </c>
      <c r="T12" s="3">
        <v>2017.921</v>
      </c>
    </row>
    <row r="13" spans="1:21" ht="15" customHeight="1" x14ac:dyDescent="0.2">
      <c r="A13" s="24" t="s">
        <v>4</v>
      </c>
      <c r="B13" s="25">
        <f t="shared" ref="B13:G13" si="4">(B4-B7+B18+B19)</f>
        <v>171.64033299999997</v>
      </c>
      <c r="C13" s="25">
        <f t="shared" si="4"/>
        <v>198.72483600000012</v>
      </c>
      <c r="D13" s="25">
        <f t="shared" si="4"/>
        <v>278.91581600000001</v>
      </c>
      <c r="E13" s="25">
        <f t="shared" si="4"/>
        <v>1885.3219999999978</v>
      </c>
      <c r="F13" s="25">
        <f t="shared" si="4"/>
        <v>1865.8019999999999</v>
      </c>
      <c r="G13" s="25">
        <f t="shared" si="4"/>
        <v>2051.5830000000005</v>
      </c>
      <c r="H13" s="25">
        <f>(H4-H7+H18+H19)</f>
        <v>2048.7999999999979</v>
      </c>
      <c r="I13" s="25">
        <f>(I4-I7+I18+I19)</f>
        <v>1642.3180000000013</v>
      </c>
      <c r="L13" s="24" t="s">
        <v>32</v>
      </c>
      <c r="M13" s="25">
        <f t="shared" ref="M13:S13" si="5">(M11+M12)</f>
        <v>9.7127379999999999</v>
      </c>
      <c r="N13" s="25">
        <f t="shared" si="5"/>
        <v>5.8639740000000007</v>
      </c>
      <c r="O13" s="25">
        <f t="shared" si="5"/>
        <v>6.2051990000000004</v>
      </c>
      <c r="P13" s="25">
        <f t="shared" si="5"/>
        <v>775.31299999999999</v>
      </c>
      <c r="Q13" s="25">
        <f t="shared" si="5"/>
        <v>1247.1199999999999</v>
      </c>
      <c r="R13" s="25">
        <f t="shared" si="5"/>
        <v>2080.31</v>
      </c>
      <c r="S13" s="25">
        <f t="shared" si="5"/>
        <v>3625.74</v>
      </c>
      <c r="T13" s="25">
        <f t="shared" ref="T13" si="6">(T11+T12)</f>
        <v>2723.9929999999999</v>
      </c>
      <c r="U13" s="47"/>
    </row>
    <row r="14" spans="1:21" ht="15" customHeight="1" x14ac:dyDescent="0.2">
      <c r="A14" s="26" t="s">
        <v>1</v>
      </c>
      <c r="B14" s="27"/>
      <c r="C14" s="27">
        <f t="shared" ref="C14:I14" si="7">(C13/B13-1)</f>
        <v>0.15779801009824523</v>
      </c>
      <c r="D14" s="27">
        <f t="shared" si="7"/>
        <v>0.40352772010842086</v>
      </c>
      <c r="E14" s="27">
        <f t="shared" si="7"/>
        <v>5.7594660892231291</v>
      </c>
      <c r="F14" s="27">
        <f t="shared" si="7"/>
        <v>-1.0353669028419499E-2</v>
      </c>
      <c r="G14" s="27">
        <f t="shared" si="7"/>
        <v>9.9571658729061596E-2</v>
      </c>
      <c r="H14" s="27">
        <f t="shared" si="7"/>
        <v>-1.3565134825169745E-3</v>
      </c>
      <c r="I14" s="27">
        <f t="shared" si="7"/>
        <v>-0.19840003904724568</v>
      </c>
      <c r="L14" s="24" t="s">
        <v>33</v>
      </c>
      <c r="M14" s="25">
        <f t="shared" ref="M14:T14" si="8">(M10+M11+M47+M45+M46+M44)</f>
        <v>360.11842500000006</v>
      </c>
      <c r="N14" s="25">
        <f t="shared" si="8"/>
        <v>513.11674399999993</v>
      </c>
      <c r="O14" s="25">
        <f t="shared" si="8"/>
        <v>642.54434600000013</v>
      </c>
      <c r="P14" s="25">
        <f t="shared" si="8"/>
        <v>3614.1690000000003</v>
      </c>
      <c r="Q14" s="25">
        <f t="shared" si="8"/>
        <v>4999.2930000000006</v>
      </c>
      <c r="R14" s="25">
        <f t="shared" si="8"/>
        <v>6056.9050000000007</v>
      </c>
      <c r="S14" s="25">
        <f t="shared" si="8"/>
        <v>7828.6260000000011</v>
      </c>
      <c r="T14" s="25">
        <f>(T10+T11+T47+T45+T46+T44)</f>
        <v>8465.2290000000012</v>
      </c>
    </row>
    <row r="15" spans="1:21" ht="15" customHeight="1" x14ac:dyDescent="0.2">
      <c r="A15" s="26" t="s">
        <v>68</v>
      </c>
      <c r="B15" s="27"/>
      <c r="C15" s="27"/>
      <c r="D15" s="27"/>
      <c r="E15" s="27"/>
      <c r="F15" s="27"/>
      <c r="G15" s="27">
        <f>+((G13/B13)^(1/5)-1)</f>
        <v>0.64245677396118372</v>
      </c>
      <c r="H15" s="27">
        <f>+((H13/C13)^(1/5)-1)</f>
        <v>0.59459164280501575</v>
      </c>
      <c r="I15" s="27">
        <f>+((I13/D13)^(1/5)-1)</f>
        <v>0.42559716229665767</v>
      </c>
      <c r="L15" s="24" t="s">
        <v>33</v>
      </c>
      <c r="M15" s="25">
        <f t="shared" ref="M15:T15" si="9">M50-M35-M12</f>
        <v>360.118425</v>
      </c>
      <c r="N15" s="25">
        <f t="shared" si="9"/>
        <v>513.11674400000004</v>
      </c>
      <c r="O15" s="25">
        <f t="shared" si="9"/>
        <v>642.54434499999991</v>
      </c>
      <c r="P15" s="25">
        <f t="shared" si="9"/>
        <v>3614.1659999999993</v>
      </c>
      <c r="Q15" s="25">
        <f t="shared" si="9"/>
        <v>4999.2929999999997</v>
      </c>
      <c r="R15" s="25">
        <f t="shared" si="9"/>
        <v>6056.9049999999997</v>
      </c>
      <c r="S15" s="25">
        <f t="shared" si="9"/>
        <v>7828.655999999999</v>
      </c>
      <c r="T15" s="25">
        <f>T50-T35-T12</f>
        <v>8465.2319999999982</v>
      </c>
      <c r="U15" s="14"/>
    </row>
    <row r="16" spans="1:21" ht="15" customHeight="1" x14ac:dyDescent="0.2">
      <c r="A16" s="24" t="s">
        <v>5</v>
      </c>
      <c r="B16" s="28">
        <f t="shared" ref="B16:H16" si="10">(B13/B4)</f>
        <v>0.32096635871614981</v>
      </c>
      <c r="C16" s="28">
        <f t="shared" si="10"/>
        <v>0.26537573593603137</v>
      </c>
      <c r="D16" s="28">
        <f t="shared" si="10"/>
        <v>0.22837748946886161</v>
      </c>
      <c r="E16" s="28">
        <f t="shared" si="10"/>
        <v>0.26893626272111565</v>
      </c>
      <c r="F16" s="28">
        <f t="shared" si="10"/>
        <v>0.27388425826297846</v>
      </c>
      <c r="G16" s="28">
        <f t="shared" si="10"/>
        <v>0.27180484896661372</v>
      </c>
      <c r="H16" s="28">
        <f t="shared" si="10"/>
        <v>0.17764675279632341</v>
      </c>
      <c r="I16" s="28">
        <f t="shared" ref="I16" si="11">(I13/I4)</f>
        <v>0.15614285084076449</v>
      </c>
      <c r="L16" s="12" t="s">
        <v>87</v>
      </c>
      <c r="M16" s="6" t="s">
        <v>69</v>
      </c>
      <c r="N16" s="6">
        <v>405.56981300000001</v>
      </c>
      <c r="O16" s="6">
        <v>468.90404699999999</v>
      </c>
      <c r="P16" s="5">
        <v>1790.3240000000001</v>
      </c>
      <c r="Q16" s="5">
        <v>3155.9549999999999</v>
      </c>
      <c r="R16" s="5">
        <v>5556.3950000000004</v>
      </c>
      <c r="S16" s="5"/>
      <c r="T16" s="5"/>
    </row>
    <row r="17" spans="1:20" ht="15" customHeight="1" x14ac:dyDescent="0.2">
      <c r="A17" s="7" t="s">
        <v>6</v>
      </c>
      <c r="B17" s="5">
        <v>13.767310999999999</v>
      </c>
      <c r="C17" s="5">
        <v>14.966426</v>
      </c>
      <c r="D17" s="5">
        <v>14.846119</v>
      </c>
      <c r="E17" s="5">
        <v>87.269000000000005</v>
      </c>
      <c r="F17" s="5">
        <v>63.039000000000001</v>
      </c>
      <c r="G17" s="5">
        <v>59.380999999999993</v>
      </c>
      <c r="H17" s="5">
        <v>74.180000000000007</v>
      </c>
      <c r="I17" s="5">
        <v>80.325999999999993</v>
      </c>
      <c r="L17" s="24" t="s">
        <v>102</v>
      </c>
      <c r="M17" s="25">
        <f t="shared" ref="M17:S17" si="12">SUM(M18:M25)</f>
        <v>264.49218500000001</v>
      </c>
      <c r="N17" s="25">
        <f t="shared" si="12"/>
        <v>343.77029300000004</v>
      </c>
      <c r="O17" s="25">
        <f t="shared" si="12"/>
        <v>386.13054699999998</v>
      </c>
      <c r="P17" s="25">
        <f t="shared" si="12"/>
        <v>2625.2829999999999</v>
      </c>
      <c r="Q17" s="25">
        <f t="shared" si="12"/>
        <v>4450.7280000000001</v>
      </c>
      <c r="R17" s="25">
        <f t="shared" si="12"/>
        <v>5730.6530000000002</v>
      </c>
      <c r="S17" s="25">
        <f t="shared" si="12"/>
        <v>6652.2179999999998</v>
      </c>
      <c r="T17" s="25">
        <f t="shared" ref="T17" si="13">SUM(T18:T25)</f>
        <v>7681.8179999999993</v>
      </c>
    </row>
    <row r="18" spans="1:20" ht="15" customHeight="1" x14ac:dyDescent="0.2">
      <c r="A18" s="7" t="s">
        <v>7</v>
      </c>
      <c r="B18" s="5">
        <v>9.2667870000000008</v>
      </c>
      <c r="C18" s="5">
        <v>17.093682000000001</v>
      </c>
      <c r="D18" s="5">
        <v>21.884025000000001</v>
      </c>
      <c r="E18" s="5">
        <v>136.41199999999998</v>
      </c>
      <c r="F18" s="5">
        <v>157.667</v>
      </c>
      <c r="G18" s="5">
        <v>212.39899999999997</v>
      </c>
      <c r="H18" s="5">
        <v>296.19</v>
      </c>
      <c r="I18" s="5">
        <v>291.89299999999997</v>
      </c>
      <c r="L18" s="7" t="s">
        <v>112</v>
      </c>
      <c r="M18" s="3">
        <v>124.36668299999999</v>
      </c>
      <c r="N18" s="3">
        <v>264.23576100000002</v>
      </c>
      <c r="O18" s="3">
        <v>306.377724</v>
      </c>
      <c r="P18" s="3">
        <v>1430.9549999999999</v>
      </c>
      <c r="Q18" s="3">
        <v>2728.5990000000002</v>
      </c>
      <c r="R18" s="3">
        <v>4966.9800000000005</v>
      </c>
      <c r="S18" s="3">
        <v>5302.6</v>
      </c>
      <c r="T18" s="3">
        <v>6564.63</v>
      </c>
    </row>
    <row r="19" spans="1:20" ht="15" customHeight="1" x14ac:dyDescent="0.2">
      <c r="A19" s="7" t="s">
        <v>75</v>
      </c>
      <c r="B19" s="5">
        <v>4.8527339999999999</v>
      </c>
      <c r="C19" s="5">
        <v>2.5469979999999999</v>
      </c>
      <c r="D19" s="5">
        <v>4.6909179999999999</v>
      </c>
      <c r="E19" s="5">
        <v>36.765000000000001</v>
      </c>
      <c r="F19" s="5">
        <v>23.263999999999999</v>
      </c>
      <c r="G19" s="5">
        <v>49.980000000000004</v>
      </c>
      <c r="H19" s="5">
        <v>64.790000000000006</v>
      </c>
      <c r="I19" s="5">
        <v>107.92700000000001</v>
      </c>
      <c r="L19" s="7" t="s">
        <v>76</v>
      </c>
      <c r="M19" s="3">
        <v>1.6074980000000001</v>
      </c>
      <c r="N19" s="5">
        <v>0</v>
      </c>
      <c r="O19" s="5"/>
      <c r="P19" s="3">
        <v>655.60599999999999</v>
      </c>
      <c r="Q19" s="3">
        <v>1291.2180000000001</v>
      </c>
      <c r="R19" s="3">
        <v>458.91</v>
      </c>
      <c r="S19" s="3">
        <v>1116.07</v>
      </c>
      <c r="T19" s="3">
        <v>708.84900000000005</v>
      </c>
    </row>
    <row r="20" spans="1:20" ht="15" customHeight="1" x14ac:dyDescent="0.2">
      <c r="A20" s="7" t="s">
        <v>8</v>
      </c>
      <c r="B20" s="5">
        <v>0.27310499999999999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48.978000000000002</v>
      </c>
      <c r="L20" s="7" t="s">
        <v>107</v>
      </c>
      <c r="M20" s="5"/>
      <c r="N20" s="5"/>
      <c r="O20" s="5"/>
      <c r="P20" s="3">
        <v>8.8709999999999987</v>
      </c>
      <c r="Q20" s="3">
        <v>6.7629999999999999</v>
      </c>
      <c r="R20" s="3">
        <v>6.4909999999999997</v>
      </c>
      <c r="S20" s="3">
        <v>8.4</v>
      </c>
      <c r="T20" s="3">
        <v>12.430999999999999</v>
      </c>
    </row>
    <row r="21" spans="1:20" ht="15" customHeight="1" x14ac:dyDescent="0.2">
      <c r="A21" s="24" t="s">
        <v>9</v>
      </c>
      <c r="B21" s="25">
        <f>B4-B7-B20</f>
        <v>157.24770699999999</v>
      </c>
      <c r="C21" s="25">
        <f t="shared" ref="C21:F21" si="14">C4-C7</f>
        <v>179.08415600000012</v>
      </c>
      <c r="D21" s="25">
        <f t="shared" si="14"/>
        <v>252.34087299999999</v>
      </c>
      <c r="E21" s="25">
        <f t="shared" si="14"/>
        <v>1712.1449999999977</v>
      </c>
      <c r="F21" s="25">
        <f t="shared" si="14"/>
        <v>1684.8710000000001</v>
      </c>
      <c r="G21" s="25">
        <f>G4-G7</f>
        <v>1789.2040000000006</v>
      </c>
      <c r="H21" s="25">
        <f>H4+H17-H7</f>
        <v>1761.9999999999982</v>
      </c>
      <c r="I21" s="25">
        <f>I4+I17-I7+I20</f>
        <v>1371.8020000000006</v>
      </c>
      <c r="L21" s="7" t="s">
        <v>108</v>
      </c>
      <c r="M21" s="5"/>
      <c r="N21" s="5"/>
      <c r="O21" s="5"/>
      <c r="P21" s="3">
        <v>65.703999999999994</v>
      </c>
      <c r="Q21" s="3">
        <v>28.158999999999999</v>
      </c>
      <c r="R21" s="3">
        <v>123.276</v>
      </c>
      <c r="S21" s="3">
        <v>123.27</v>
      </c>
      <c r="T21" s="3">
        <v>123.276</v>
      </c>
    </row>
    <row r="22" spans="1:20" ht="15" customHeight="1" x14ac:dyDescent="0.2">
      <c r="A22" s="7" t="s">
        <v>10</v>
      </c>
      <c r="B22" s="3">
        <f>(53800000+343407+657226)/1000000</f>
        <v>54.800632999999998</v>
      </c>
      <c r="C22" s="3">
        <f>(59400000+994630+2489813)/1000000</f>
        <v>62.884442999999997</v>
      </c>
      <c r="D22" s="3">
        <f>(84600000+4364312)/1000000</f>
        <v>88.964312000000007</v>
      </c>
      <c r="E22" s="3">
        <v>499.64099999999996</v>
      </c>
      <c r="F22" s="3">
        <v>422.90299999999996</v>
      </c>
      <c r="G22" s="3">
        <v>539.899</v>
      </c>
      <c r="H22" s="3">
        <v>482.57</v>
      </c>
      <c r="I22" s="3">
        <v>346.15499999999997</v>
      </c>
      <c r="L22" s="7" t="s">
        <v>109</v>
      </c>
      <c r="M22" s="5">
        <v>0</v>
      </c>
      <c r="N22" s="5">
        <v>0</v>
      </c>
      <c r="O22" s="5">
        <v>0</v>
      </c>
      <c r="P22" s="3">
        <v>0.28500000000000003</v>
      </c>
      <c r="Q22" s="3">
        <v>0.27900000000000003</v>
      </c>
      <c r="R22" s="3">
        <v>0.14899999999999999</v>
      </c>
      <c r="S22" s="3">
        <v>1.7999999999999999E-2</v>
      </c>
      <c r="T22" s="3">
        <v>2.1309999999999998</v>
      </c>
    </row>
    <row r="23" spans="1:20" ht="15" customHeight="1" x14ac:dyDescent="0.2">
      <c r="A23" s="26" t="s">
        <v>11</v>
      </c>
      <c r="B23" s="29">
        <f t="shared" ref="B23:E23" si="15">(B22/B21)</f>
        <v>0.34849877333982365</v>
      </c>
      <c r="C23" s="29">
        <f t="shared" si="15"/>
        <v>0.3511446484411494</v>
      </c>
      <c r="D23" s="29">
        <f t="shared" si="15"/>
        <v>0.35255609185437037</v>
      </c>
      <c r="E23" s="29">
        <f t="shared" si="15"/>
        <v>0.29182166230079848</v>
      </c>
      <c r="F23" s="29">
        <f>(F22/F21)</f>
        <v>0.25100022494303714</v>
      </c>
      <c r="G23" s="29">
        <f>(G22/G21)</f>
        <v>0.30175374076963823</v>
      </c>
      <c r="H23" s="29">
        <f>(H22/H21)</f>
        <v>0.27387627695800254</v>
      </c>
      <c r="I23" s="29">
        <f>(I22/I21)</f>
        <v>0.25233597851584982</v>
      </c>
      <c r="L23" s="7" t="s">
        <v>110</v>
      </c>
      <c r="M23" s="5"/>
      <c r="N23" s="5"/>
      <c r="O23" s="5"/>
      <c r="P23" s="3">
        <v>339.22300000000001</v>
      </c>
      <c r="Q23" s="3">
        <v>181.08099999999999</v>
      </c>
      <c r="R23" s="3">
        <v>23.37</v>
      </c>
      <c r="S23" s="3">
        <v>32.450000000000003</v>
      </c>
      <c r="T23" s="3">
        <v>36.680999999999997</v>
      </c>
    </row>
    <row r="24" spans="1:20" ht="15" customHeight="1" x14ac:dyDescent="0.2">
      <c r="A24" s="24" t="s">
        <v>98</v>
      </c>
      <c r="B24" s="25">
        <f t="shared" ref="B24:F24" si="16">(B21-B22)</f>
        <v>102.44707399999999</v>
      </c>
      <c r="C24" s="25">
        <f t="shared" si="16"/>
        <v>116.19971300000012</v>
      </c>
      <c r="D24" s="25">
        <f t="shared" si="16"/>
        <v>163.37656099999998</v>
      </c>
      <c r="E24" s="25">
        <f t="shared" si="16"/>
        <v>1212.5039999999976</v>
      </c>
      <c r="F24" s="25">
        <f t="shared" si="16"/>
        <v>1261.9680000000001</v>
      </c>
      <c r="G24" s="25">
        <f>(G21-G22)</f>
        <v>1249.3050000000007</v>
      </c>
      <c r="H24" s="25">
        <f>(H21-H22)</f>
        <v>1279.4299999999982</v>
      </c>
      <c r="I24" s="25">
        <f>(I21-I22)</f>
        <v>1025.6470000000006</v>
      </c>
      <c r="L24" s="7" t="s">
        <v>77</v>
      </c>
      <c r="M24" s="3">
        <v>118.935644</v>
      </c>
      <c r="N24" s="3">
        <v>13.073307</v>
      </c>
      <c r="O24" s="3">
        <v>8.739846</v>
      </c>
      <c r="P24" s="3">
        <v>39.118000000000002</v>
      </c>
      <c r="Q24" s="3">
        <v>60.544000000000004</v>
      </c>
      <c r="R24" s="3">
        <v>58.345000000000006</v>
      </c>
      <c r="S24" s="3">
        <v>58.04</v>
      </c>
      <c r="T24" s="3">
        <v>67.534999999999997</v>
      </c>
    </row>
    <row r="25" spans="1:20" ht="15" customHeight="1" x14ac:dyDescent="0.2">
      <c r="A25" s="7" t="s">
        <v>99</v>
      </c>
      <c r="B25" s="3"/>
      <c r="C25" s="3"/>
      <c r="D25" s="3"/>
      <c r="E25" s="3">
        <v>119.65899999999999</v>
      </c>
      <c r="F25" s="3"/>
      <c r="G25" s="3"/>
      <c r="H25" s="3"/>
      <c r="I25" s="3"/>
      <c r="L25" s="7" t="s">
        <v>78</v>
      </c>
      <c r="M25" s="3">
        <v>19.582360000000001</v>
      </c>
      <c r="N25" s="3">
        <v>66.461224999999999</v>
      </c>
      <c r="O25" s="3">
        <v>71.012977000000006</v>
      </c>
      <c r="P25" s="3">
        <v>85.521000000000001</v>
      </c>
      <c r="Q25" s="3">
        <v>154.08499999999998</v>
      </c>
      <c r="R25" s="3">
        <v>93.132000000000005</v>
      </c>
      <c r="S25" s="3">
        <v>11.37</v>
      </c>
      <c r="T25" s="3">
        <v>166.285</v>
      </c>
    </row>
    <row r="26" spans="1:20" ht="15" customHeight="1" x14ac:dyDescent="0.2">
      <c r="A26" s="24" t="s">
        <v>120</v>
      </c>
      <c r="B26" s="25">
        <f t="shared" ref="B26:D26" si="17">B24+B25</f>
        <v>102.44707399999999</v>
      </c>
      <c r="C26" s="25">
        <f t="shared" si="17"/>
        <v>116.19971300000012</v>
      </c>
      <c r="D26" s="25">
        <f t="shared" si="17"/>
        <v>163.37656099999998</v>
      </c>
      <c r="E26" s="25">
        <f>E24+E25</f>
        <v>1332.1629999999977</v>
      </c>
      <c r="F26" s="25">
        <f t="shared" ref="F26:G26" si="18">F24+F25</f>
        <v>1261.9680000000001</v>
      </c>
      <c r="G26" s="25">
        <f t="shared" si="18"/>
        <v>1249.3050000000007</v>
      </c>
      <c r="H26" s="25">
        <f>(H21-H22)</f>
        <v>1279.4299999999982</v>
      </c>
      <c r="I26" s="25">
        <f>(I21-I22)</f>
        <v>1025.6470000000006</v>
      </c>
      <c r="L26" s="24" t="s">
        <v>104</v>
      </c>
      <c r="M26" s="25">
        <f t="shared" ref="M26:S26" si="19">SUM(M27:M34)</f>
        <v>143.25658899999999</v>
      </c>
      <c r="N26" s="25">
        <f t="shared" si="19"/>
        <v>341.34867599999995</v>
      </c>
      <c r="O26" s="25">
        <f t="shared" si="19"/>
        <v>575.58385999999996</v>
      </c>
      <c r="P26" s="25">
        <f t="shared" si="19"/>
        <v>2185.5789999999997</v>
      </c>
      <c r="Q26" s="25">
        <f t="shared" si="19"/>
        <v>2240.3129999999996</v>
      </c>
      <c r="R26" s="25">
        <f t="shared" si="19"/>
        <v>3032.4</v>
      </c>
      <c r="S26" s="25">
        <f t="shared" si="19"/>
        <v>5195.1180000000004</v>
      </c>
      <c r="T26" s="25">
        <f t="shared" ref="T26" si="20">SUM(T27:T34)</f>
        <v>4710.4459999999999</v>
      </c>
    </row>
    <row r="27" spans="1:20" ht="15" customHeight="1" x14ac:dyDescent="0.2">
      <c r="A27" s="24" t="s">
        <v>64</v>
      </c>
      <c r="B27" s="30">
        <f t="shared" ref="B27:H27" si="21">B26/B4</f>
        <v>0.19157539331331841</v>
      </c>
      <c r="C27" s="30">
        <f t="shared" si="21"/>
        <v>0.15517227224145572</v>
      </c>
      <c r="D27" s="30">
        <f t="shared" si="21"/>
        <v>0.13377344237530195</v>
      </c>
      <c r="E27" s="30">
        <f t="shared" si="21"/>
        <v>0.19002957508338064</v>
      </c>
      <c r="F27" s="30">
        <f t="shared" si="21"/>
        <v>0.18524643538361221</v>
      </c>
      <c r="G27" s="30">
        <f>G26/G4</f>
        <v>0.16551470588235304</v>
      </c>
      <c r="H27" s="30">
        <f t="shared" si="21"/>
        <v>0.11093644324980476</v>
      </c>
      <c r="I27" s="30">
        <f t="shared" ref="I27" si="22">I26/I4</f>
        <v>9.7513055654433273E-2</v>
      </c>
      <c r="L27" s="7" t="s">
        <v>34</v>
      </c>
      <c r="M27" s="3">
        <v>24.642568000000001</v>
      </c>
      <c r="N27" s="3">
        <v>93.744753000000003</v>
      </c>
      <c r="O27" s="3">
        <v>70.944616999999994</v>
      </c>
      <c r="P27" s="3">
        <v>479.09899999999999</v>
      </c>
      <c r="Q27" s="3">
        <v>448.64300000000003</v>
      </c>
      <c r="R27" s="3">
        <v>721.70399999999995</v>
      </c>
      <c r="S27" s="3">
        <v>1136.3699999999999</v>
      </c>
      <c r="T27" s="3">
        <v>1262.2180000000001</v>
      </c>
    </row>
    <row r="28" spans="1:20" ht="15" customHeight="1" x14ac:dyDescent="0.2">
      <c r="A28" s="7" t="s">
        <v>12</v>
      </c>
      <c r="B28" s="3"/>
      <c r="C28" s="3"/>
      <c r="D28" s="3"/>
      <c r="E28" s="3">
        <v>-0.19</v>
      </c>
      <c r="F28" s="3"/>
      <c r="G28" s="3"/>
      <c r="H28" s="3"/>
      <c r="I28" s="3"/>
      <c r="L28" s="7" t="s">
        <v>111</v>
      </c>
      <c r="M28" s="5"/>
      <c r="N28" s="5"/>
      <c r="O28" s="5"/>
      <c r="P28" s="3">
        <v>104.34100000000001</v>
      </c>
      <c r="Q28" s="3">
        <v>47.466999999999999</v>
      </c>
      <c r="R28" s="3">
        <v>40.006</v>
      </c>
      <c r="S28" s="3">
        <v>45.649000000000001</v>
      </c>
      <c r="T28" s="3">
        <v>375.209</v>
      </c>
    </row>
    <row r="29" spans="1:20" ht="15" customHeight="1" x14ac:dyDescent="0.2">
      <c r="A29" s="7" t="s">
        <v>56</v>
      </c>
      <c r="B29" s="3"/>
      <c r="C29" s="3"/>
      <c r="D29" s="3"/>
      <c r="E29" s="3"/>
      <c r="F29" s="3">
        <v>2.371</v>
      </c>
      <c r="G29" s="3">
        <v>69.433999999999997</v>
      </c>
      <c r="H29" s="3">
        <v>5.95</v>
      </c>
      <c r="I29" s="3">
        <v>1.5229999999999999</v>
      </c>
      <c r="L29" s="7" t="s">
        <v>95</v>
      </c>
      <c r="M29" s="3">
        <v>101.872074</v>
      </c>
      <c r="N29" s="3">
        <v>176.84246999999999</v>
      </c>
      <c r="O29" s="3">
        <v>368.87466899999998</v>
      </c>
      <c r="P29" s="3">
        <v>1413.777</v>
      </c>
      <c r="Q29" s="3">
        <v>1325.943</v>
      </c>
      <c r="R29" s="3">
        <v>1567.79</v>
      </c>
      <c r="S29" s="3">
        <v>3209.36</v>
      </c>
      <c r="T29" s="3">
        <v>2542.9870000000001</v>
      </c>
    </row>
    <row r="30" spans="1:20" ht="15" customHeight="1" x14ac:dyDescent="0.2">
      <c r="A30" s="24" t="s">
        <v>13</v>
      </c>
      <c r="B30" s="25">
        <f t="shared" ref="B30:F30" si="23">(B26-B28+B29)</f>
        <v>102.44707399999999</v>
      </c>
      <c r="C30" s="25">
        <f t="shared" si="23"/>
        <v>116.19971300000012</v>
      </c>
      <c r="D30" s="25">
        <f t="shared" si="23"/>
        <v>163.37656099999998</v>
      </c>
      <c r="E30" s="25">
        <f t="shared" si="23"/>
        <v>1332.3529999999978</v>
      </c>
      <c r="F30" s="25">
        <f t="shared" si="23"/>
        <v>1264.3390000000002</v>
      </c>
      <c r="G30" s="25">
        <f>(G26-G28+G29)</f>
        <v>1318.7390000000007</v>
      </c>
      <c r="H30" s="25">
        <f>(H26-H28+H29)</f>
        <v>1285.3799999999983</v>
      </c>
      <c r="I30" s="25">
        <f>(I26-I28+I29)</f>
        <v>1027.1700000000005</v>
      </c>
      <c r="L30" s="7" t="s">
        <v>35</v>
      </c>
      <c r="M30" s="3">
        <v>11.426399999999999</v>
      </c>
      <c r="N30" s="3">
        <v>50.347675000000002</v>
      </c>
      <c r="O30" s="3">
        <v>115.55900200000001</v>
      </c>
      <c r="P30" s="3">
        <f>(286+77.78)/10</f>
        <v>36.378</v>
      </c>
      <c r="Q30" s="3">
        <f>(765.77+502.19)/10</f>
        <v>126.79600000000001</v>
      </c>
      <c r="R30" s="3">
        <v>309.83999999999997</v>
      </c>
      <c r="S30" s="3">
        <v>453.8</v>
      </c>
      <c r="T30" s="3">
        <f>77.508+3.995</f>
        <v>81.503</v>
      </c>
    </row>
    <row r="31" spans="1:20" ht="15" customHeight="1" x14ac:dyDescent="0.2">
      <c r="A31" s="26" t="s">
        <v>1</v>
      </c>
      <c r="B31" s="27"/>
      <c r="C31" s="27">
        <f t="shared" ref="C31:I31" si="24">(C30/B30-1)</f>
        <v>0.13424140351729452</v>
      </c>
      <c r="D31" s="27">
        <f t="shared" si="24"/>
        <v>0.40599797350618094</v>
      </c>
      <c r="E31" s="27">
        <f t="shared" si="24"/>
        <v>7.1551049418894177</v>
      </c>
      <c r="F31" s="27">
        <f t="shared" si="24"/>
        <v>-5.1048033066310339E-2</v>
      </c>
      <c r="G31" s="27">
        <f t="shared" si="24"/>
        <v>4.3026435157027088E-2</v>
      </c>
      <c r="H31" s="27">
        <f t="shared" si="24"/>
        <v>-2.5296135171555822E-2</v>
      </c>
      <c r="I31" s="27">
        <f t="shared" si="24"/>
        <v>-0.20088222937963718</v>
      </c>
      <c r="L31" s="7" t="s">
        <v>79</v>
      </c>
      <c r="M31" s="3">
        <v>5.3155469999999996</v>
      </c>
      <c r="N31" s="5"/>
      <c r="O31" s="3">
        <v>20.205572</v>
      </c>
      <c r="P31" s="3">
        <v>4.7810000000000006</v>
      </c>
      <c r="Q31" s="3">
        <v>7.4550000000000001</v>
      </c>
      <c r="R31" s="3">
        <v>4.74</v>
      </c>
      <c r="S31" s="3">
        <v>4.66</v>
      </c>
      <c r="T31" s="3">
        <v>7.8380000000000001</v>
      </c>
    </row>
    <row r="32" spans="1:20" ht="15" customHeight="1" x14ac:dyDescent="0.2">
      <c r="A32" s="26" t="s">
        <v>2</v>
      </c>
      <c r="B32" s="27"/>
      <c r="C32" s="27"/>
      <c r="D32" s="27"/>
      <c r="E32" s="27"/>
      <c r="F32" s="27"/>
      <c r="G32" s="27">
        <f>+((G30/B30)^(1/5)-1)</f>
        <v>0.66698563822684842</v>
      </c>
      <c r="H32" s="27">
        <f>+((H30/C30)^(1/5)-1)</f>
        <v>0.61720582354753795</v>
      </c>
      <c r="I32" s="27">
        <f>+((I30/D30)^(1/5)-1)</f>
        <v>0.44441009586890967</v>
      </c>
      <c r="L32" s="7" t="s">
        <v>113</v>
      </c>
      <c r="M32" s="5"/>
      <c r="N32" s="3">
        <v>20.413778000000001</v>
      </c>
      <c r="O32" s="5"/>
      <c r="P32" s="3">
        <v>0</v>
      </c>
      <c r="Q32" s="3">
        <v>0</v>
      </c>
      <c r="R32" s="3">
        <v>2.15</v>
      </c>
      <c r="S32" s="3">
        <v>3.4</v>
      </c>
      <c r="T32" s="3">
        <v>36.369</v>
      </c>
    </row>
    <row r="33" spans="1:20" ht="15" customHeight="1" x14ac:dyDescent="0.2">
      <c r="A33" s="12" t="s">
        <v>14</v>
      </c>
      <c r="B33" s="22">
        <v>28.14</v>
      </c>
      <c r="C33" s="22">
        <v>21.89</v>
      </c>
      <c r="D33" s="22">
        <v>27.86</v>
      </c>
      <c r="E33" s="22">
        <v>95.29</v>
      </c>
      <c r="F33" s="22">
        <v>44.32</v>
      </c>
      <c r="G33" s="22">
        <v>40.97</v>
      </c>
      <c r="H33" s="22">
        <v>40.51</v>
      </c>
      <c r="I33" s="22">
        <v>31.5</v>
      </c>
      <c r="L33" s="21" t="s">
        <v>54</v>
      </c>
      <c r="M33" s="7"/>
      <c r="N33" s="8"/>
      <c r="O33" s="3"/>
      <c r="P33" s="3">
        <v>146.71199999999999</v>
      </c>
      <c r="Q33" s="3">
        <v>242.42199999999997</v>
      </c>
      <c r="R33" s="3">
        <v>364.49</v>
      </c>
      <c r="S33" s="3">
        <v>232.60900000000001</v>
      </c>
      <c r="T33" s="3">
        <v>308.37099999999998</v>
      </c>
    </row>
    <row r="34" spans="1:20" ht="15" customHeight="1" x14ac:dyDescent="0.2">
      <c r="A34" s="26" t="s">
        <v>1</v>
      </c>
      <c r="B34" s="31"/>
      <c r="C34" s="31">
        <f t="shared" ref="C34:I34" si="25">(C33/B33-1)</f>
        <v>-0.22210376687988631</v>
      </c>
      <c r="D34" s="31">
        <f t="shared" si="25"/>
        <v>0.27272727272727271</v>
      </c>
      <c r="E34" s="31">
        <f t="shared" si="25"/>
        <v>2.4203158650394836</v>
      </c>
      <c r="F34" s="31">
        <f t="shared" si="25"/>
        <v>-0.5348934830517369</v>
      </c>
      <c r="G34" s="31">
        <f t="shared" si="25"/>
        <v>-7.5586642599278053E-2</v>
      </c>
      <c r="H34" s="31">
        <f t="shared" si="25"/>
        <v>-1.1227727605565119E-2</v>
      </c>
      <c r="I34" s="31">
        <f t="shared" si="25"/>
        <v>-0.22241421871142919</v>
      </c>
      <c r="L34" s="7" t="s">
        <v>91</v>
      </c>
      <c r="M34" s="5"/>
      <c r="N34" s="5"/>
      <c r="O34" s="5"/>
      <c r="P34" s="3">
        <v>0.49099999999999999</v>
      </c>
      <c r="Q34" s="3">
        <v>41.587000000000003</v>
      </c>
      <c r="R34" s="3">
        <v>21.68</v>
      </c>
      <c r="S34" s="3">
        <v>109.27</v>
      </c>
      <c r="T34" s="3">
        <v>95.950999999999993</v>
      </c>
    </row>
    <row r="35" spans="1:20" ht="15" customHeight="1" x14ac:dyDescent="0.2">
      <c r="A35" s="26" t="s">
        <v>68</v>
      </c>
      <c r="B35" s="31"/>
      <c r="C35" s="31"/>
      <c r="D35" s="31"/>
      <c r="E35" s="31"/>
      <c r="F35" s="31"/>
      <c r="G35" s="31">
        <f>((G33/B33)^(1/3)-1)</f>
        <v>0.1333932546324339</v>
      </c>
      <c r="H35" s="31">
        <f>((H33/C33)^(1/3)-1)</f>
        <v>0.22773742293947152</v>
      </c>
      <c r="I35" s="31">
        <f>((I33/D33)^(1/3)-1)</f>
        <v>4.1781115286522175E-2</v>
      </c>
      <c r="L35" s="24" t="s">
        <v>105</v>
      </c>
      <c r="M35" s="25">
        <f t="shared" ref="M35:T35" si="26">SUM(M36:M42)</f>
        <v>37.917611000000001</v>
      </c>
      <c r="N35" s="25">
        <f t="shared" si="26"/>
        <v>169.225323</v>
      </c>
      <c r="O35" s="25">
        <f t="shared" si="26"/>
        <v>315.96486300000004</v>
      </c>
      <c r="P35" s="25">
        <f t="shared" si="26"/>
        <v>870.56899999999996</v>
      </c>
      <c r="Q35" s="25">
        <f t="shared" si="26"/>
        <v>1285.3920000000003</v>
      </c>
      <c r="R35" s="25">
        <f t="shared" si="26"/>
        <v>1376.4880000000003</v>
      </c>
      <c r="S35" s="25">
        <f t="shared" si="26"/>
        <v>1450.6200000000001</v>
      </c>
      <c r="T35" s="25">
        <f t="shared" si="26"/>
        <v>1909.1110000000001</v>
      </c>
    </row>
    <row r="36" spans="1:20" ht="15" customHeight="1" x14ac:dyDescent="0.2">
      <c r="L36" s="7" t="s">
        <v>103</v>
      </c>
      <c r="M36" s="5"/>
      <c r="N36" s="5"/>
      <c r="O36" s="5"/>
      <c r="P36" s="3">
        <v>0</v>
      </c>
      <c r="Q36" s="3">
        <v>0</v>
      </c>
      <c r="R36" s="3">
        <v>4.7750000000000004</v>
      </c>
      <c r="S36" s="3">
        <v>3.14</v>
      </c>
      <c r="T36" s="3">
        <v>1.752</v>
      </c>
    </row>
    <row r="37" spans="1:20" ht="15" customHeight="1" x14ac:dyDescent="0.2">
      <c r="L37" s="7" t="s">
        <v>122</v>
      </c>
      <c r="M37" s="5"/>
      <c r="N37" s="5"/>
      <c r="O37" s="5"/>
      <c r="P37" s="3"/>
      <c r="Q37" s="3"/>
      <c r="R37" s="3"/>
      <c r="S37" s="3"/>
      <c r="T37" s="3"/>
    </row>
    <row r="38" spans="1:20" ht="15" customHeight="1" x14ac:dyDescent="0.2">
      <c r="A38" s="23" t="s">
        <v>15</v>
      </c>
      <c r="B38" s="23"/>
      <c r="C38" s="23"/>
      <c r="D38" s="23"/>
      <c r="E38" s="23"/>
      <c r="F38" s="23"/>
      <c r="G38" s="23"/>
      <c r="H38" s="23"/>
      <c r="I38" s="23"/>
      <c r="L38" s="7" t="s">
        <v>65</v>
      </c>
      <c r="M38" s="3">
        <v>34.288851000000001</v>
      </c>
      <c r="N38" s="3">
        <v>125.683677</v>
      </c>
      <c r="O38" s="3">
        <v>249.676017</v>
      </c>
      <c r="P38" s="3">
        <v>742.83600000000001</v>
      </c>
      <c r="Q38" s="3">
        <v>878.87000000000012</v>
      </c>
      <c r="R38" s="3">
        <v>1072.0620000000001</v>
      </c>
      <c r="S38" s="3">
        <v>1237.8800000000001</v>
      </c>
      <c r="T38" s="3">
        <v>1655.9690000000001</v>
      </c>
    </row>
    <row r="39" spans="1:20" ht="15" customHeight="1" x14ac:dyDescent="0.2">
      <c r="A39" s="39" t="s">
        <v>0</v>
      </c>
      <c r="B39" s="40" t="s">
        <v>25</v>
      </c>
      <c r="C39" s="40" t="s">
        <v>26</v>
      </c>
      <c r="D39" s="40" t="s">
        <v>66</v>
      </c>
      <c r="E39" s="40" t="s">
        <v>83</v>
      </c>
      <c r="F39" s="40" t="s">
        <v>90</v>
      </c>
      <c r="G39" s="40" t="s">
        <v>92</v>
      </c>
      <c r="H39" s="40" t="s">
        <v>119</v>
      </c>
      <c r="I39" s="40" t="s">
        <v>121</v>
      </c>
      <c r="J39" s="11"/>
      <c r="K39" s="11"/>
      <c r="L39" s="7" t="s">
        <v>89</v>
      </c>
      <c r="M39" s="5"/>
      <c r="N39" s="5"/>
      <c r="O39" s="5"/>
      <c r="P39" s="3">
        <v>78.8</v>
      </c>
      <c r="Q39" s="3">
        <v>359.36099999999999</v>
      </c>
      <c r="R39" s="3">
        <v>252.661</v>
      </c>
      <c r="S39" s="3">
        <v>161.49</v>
      </c>
      <c r="T39" s="3">
        <v>199.886</v>
      </c>
    </row>
    <row r="40" spans="1:20" ht="15" customHeight="1" x14ac:dyDescent="0.2">
      <c r="A40" s="12" t="s">
        <v>16</v>
      </c>
      <c r="B40" s="3">
        <v>7.964747</v>
      </c>
      <c r="C40" s="3">
        <f>(11426400+22983158)/1000000</f>
        <v>34.409557999999997</v>
      </c>
      <c r="D40" s="3">
        <v>50.347675000000002</v>
      </c>
      <c r="E40" s="3">
        <f>(1255.91+231.75)/10</f>
        <v>148.76600000000002</v>
      </c>
      <c r="F40" s="3">
        <v>28.6</v>
      </c>
      <c r="G40" s="3">
        <f>(F45)</f>
        <v>76.57700000000014</v>
      </c>
      <c r="H40" s="3">
        <f>(G45)</f>
        <v>128.32700000000008</v>
      </c>
      <c r="I40" s="3">
        <f>(H45)</f>
        <v>250.46700000000018</v>
      </c>
      <c r="J40" s="11"/>
      <c r="K40" s="11"/>
      <c r="L40" s="7" t="s">
        <v>81</v>
      </c>
      <c r="M40" s="3">
        <v>1.509938</v>
      </c>
      <c r="N40" s="3">
        <v>3.0439660000000002</v>
      </c>
      <c r="O40" s="3">
        <v>11.877563</v>
      </c>
      <c r="P40" s="3">
        <v>8.7089999999999996</v>
      </c>
      <c r="Q40" s="3">
        <v>12.236000000000001</v>
      </c>
      <c r="R40" s="3">
        <v>20.57</v>
      </c>
      <c r="S40" s="3">
        <v>23.74</v>
      </c>
      <c r="T40" s="3">
        <v>21.709</v>
      </c>
    </row>
    <row r="41" spans="1:20" ht="15" customHeight="1" x14ac:dyDescent="0.2">
      <c r="A41" s="7" t="s">
        <v>17</v>
      </c>
      <c r="B41" s="3">
        <v>177.91082399999999</v>
      </c>
      <c r="C41" s="3">
        <v>94.911085</v>
      </c>
      <c r="D41" s="3">
        <v>177.66151400000001</v>
      </c>
      <c r="E41" s="3">
        <v>759.81299999999999</v>
      </c>
      <c r="F41" s="3">
        <v>1612.5840000000001</v>
      </c>
      <c r="G41" s="3">
        <v>1150.97</v>
      </c>
      <c r="H41" s="3">
        <v>-307.47000000000003</v>
      </c>
      <c r="I41" s="3">
        <v>2379.2649999999999</v>
      </c>
      <c r="J41" s="11"/>
      <c r="K41" s="11"/>
      <c r="L41" s="7" t="s">
        <v>80</v>
      </c>
      <c r="M41" s="3">
        <v>2.1188220000000002</v>
      </c>
      <c r="N41" s="3">
        <v>40.497680000000003</v>
      </c>
      <c r="O41" s="3">
        <v>54.411282999999997</v>
      </c>
      <c r="P41" s="3">
        <v>24.292999999999999</v>
      </c>
      <c r="Q41" s="3">
        <v>34.924999999999997</v>
      </c>
      <c r="R41" s="3">
        <v>26.42</v>
      </c>
      <c r="S41" s="3">
        <v>24.37</v>
      </c>
      <c r="T41" s="3">
        <v>29.795000000000002</v>
      </c>
    </row>
    <row r="42" spans="1:20" ht="15" customHeight="1" x14ac:dyDescent="0.2">
      <c r="A42" s="7" t="s">
        <v>63</v>
      </c>
      <c r="B42" s="3">
        <v>-14.501625000000001</v>
      </c>
      <c r="C42" s="3">
        <v>-37.239339999999999</v>
      </c>
      <c r="D42" s="3">
        <v>-62.265923000000001</v>
      </c>
      <c r="E42" s="3">
        <v>-882.25599999999997</v>
      </c>
      <c r="F42" s="3">
        <v>-1836.2139999999999</v>
      </c>
      <c r="G42" s="3">
        <v>-1585.92</v>
      </c>
      <c r="H42" s="3">
        <v>-1239.52</v>
      </c>
      <c r="I42" s="3">
        <v>-1427.423</v>
      </c>
      <c r="J42" s="11"/>
      <c r="K42" s="11"/>
      <c r="L42" s="7" t="s">
        <v>115</v>
      </c>
      <c r="M42" s="5"/>
      <c r="N42" s="5"/>
      <c r="O42" s="5"/>
      <c r="P42" s="3">
        <v>15.931000000000001</v>
      </c>
      <c r="Q42" s="3">
        <v>0</v>
      </c>
      <c r="R42" s="3">
        <v>0</v>
      </c>
      <c r="S42" s="3">
        <v>0</v>
      </c>
      <c r="T42" s="3">
        <v>0</v>
      </c>
    </row>
    <row r="43" spans="1:20" ht="15" customHeight="1" x14ac:dyDescent="0.2">
      <c r="A43" s="7" t="s">
        <v>18</v>
      </c>
      <c r="B43" s="3">
        <v>-159.94754499999999</v>
      </c>
      <c r="C43" s="3">
        <v>-41.733628000000003</v>
      </c>
      <c r="D43" s="3">
        <v>-50.184263000000001</v>
      </c>
      <c r="E43" s="3">
        <v>10.054</v>
      </c>
      <c r="F43" s="3">
        <v>271.60700000000003</v>
      </c>
      <c r="G43" s="3">
        <v>486.7</v>
      </c>
      <c r="H43" s="3">
        <v>1669.13</v>
      </c>
      <c r="I43" s="3">
        <v>-1124.8019999999999</v>
      </c>
      <c r="L43" s="24" t="s">
        <v>106</v>
      </c>
      <c r="M43" s="25">
        <f t="shared" ref="M43:S43" si="27">SUM(M44:M48)</f>
        <v>132.59263899999999</v>
      </c>
      <c r="N43" s="25">
        <f t="shared" si="27"/>
        <v>35.753250000000001</v>
      </c>
      <c r="O43" s="25">
        <f t="shared" si="27"/>
        <v>47.769685000000003</v>
      </c>
      <c r="P43" s="25">
        <f t="shared" si="27"/>
        <v>151.06499999999997</v>
      </c>
      <c r="Q43" s="25">
        <f t="shared" si="27"/>
        <v>151.60500000000002</v>
      </c>
      <c r="R43" s="25">
        <f t="shared" si="27"/>
        <v>220.53200000000001</v>
      </c>
      <c r="S43" s="25">
        <f t="shared" si="27"/>
        <v>281.91500000000002</v>
      </c>
      <c r="T43" s="25">
        <f t="shared" ref="T43" si="28">SUM(T44:T48)</f>
        <v>358.53499999999997</v>
      </c>
    </row>
    <row r="44" spans="1:20" ht="15" customHeight="1" x14ac:dyDescent="0.2">
      <c r="A44" s="12" t="s">
        <v>19</v>
      </c>
      <c r="B44" s="2">
        <f t="shared" ref="B44:G44" si="29">+B41+B42+B43</f>
        <v>3.46165400000001</v>
      </c>
      <c r="C44" s="2">
        <f t="shared" si="29"/>
        <v>15.938116999999998</v>
      </c>
      <c r="D44" s="2">
        <f t="shared" si="29"/>
        <v>65.211328000000009</v>
      </c>
      <c r="E44" s="2">
        <f t="shared" si="29"/>
        <v>-112.38899999999998</v>
      </c>
      <c r="F44" s="2">
        <f t="shared" si="29"/>
        <v>47.977000000000146</v>
      </c>
      <c r="G44" s="2">
        <f t="shared" si="29"/>
        <v>51.749999999999943</v>
      </c>
      <c r="H44" s="2">
        <f t="shared" ref="H44:I44" si="30">+H41+H42+H43</f>
        <v>122.1400000000001</v>
      </c>
      <c r="I44" s="2">
        <f t="shared" si="30"/>
        <v>-172.96000000000004</v>
      </c>
      <c r="L44" s="7" t="s">
        <v>103</v>
      </c>
      <c r="M44" s="5"/>
      <c r="N44" s="5"/>
      <c r="O44" s="5"/>
      <c r="P44" s="3">
        <v>0</v>
      </c>
      <c r="Q44" s="3">
        <v>0</v>
      </c>
      <c r="R44" s="3">
        <v>2.367</v>
      </c>
      <c r="S44" s="3">
        <v>5.3</v>
      </c>
      <c r="T44" s="3">
        <v>10.781000000000001</v>
      </c>
    </row>
    <row r="45" spans="1:20" ht="15" customHeight="1" x14ac:dyDescent="0.2">
      <c r="A45" s="12" t="s">
        <v>57</v>
      </c>
      <c r="B45" s="25">
        <f>+B40+B44+1.05</f>
        <v>12.47640100000001</v>
      </c>
      <c r="C45" s="25">
        <f>+C40+C44+2.52</f>
        <v>52.867674999999998</v>
      </c>
      <c r="D45" s="25">
        <f>+D40+D44+2.52</f>
        <v>118.07900300000001</v>
      </c>
      <c r="E45" s="25">
        <f>+E40+E44</f>
        <v>36.377000000000038</v>
      </c>
      <c r="F45" s="25">
        <f>+F40+F44</f>
        <v>76.57700000000014</v>
      </c>
      <c r="G45" s="25">
        <f>+G40+G44</f>
        <v>128.32700000000008</v>
      </c>
      <c r="H45" s="25">
        <f>+H40+H44</f>
        <v>250.46700000000018</v>
      </c>
      <c r="I45" s="25">
        <f>+I40+I44</f>
        <v>77.507000000000147</v>
      </c>
      <c r="L45" s="7" t="s">
        <v>82</v>
      </c>
      <c r="M45" s="3">
        <v>117.60257799999999</v>
      </c>
      <c r="N45" s="3">
        <v>3.3958119999999998</v>
      </c>
      <c r="O45" s="3">
        <v>11.047935000000001</v>
      </c>
      <c r="P45" s="3">
        <v>9.9559999999999995</v>
      </c>
      <c r="Q45" s="3">
        <v>2.411</v>
      </c>
      <c r="R45" s="3">
        <v>15.15</v>
      </c>
      <c r="S45" s="3">
        <v>10.51</v>
      </c>
      <c r="T45" s="3">
        <v>15.304</v>
      </c>
    </row>
    <row r="46" spans="1:20" ht="15" customHeight="1" x14ac:dyDescent="0.2">
      <c r="L46" s="7" t="s">
        <v>36</v>
      </c>
      <c r="M46" s="3">
        <v>14.990061000000001</v>
      </c>
      <c r="N46" s="3">
        <v>32.357438000000002</v>
      </c>
      <c r="O46" s="3">
        <v>36.72175</v>
      </c>
      <c r="P46" s="3">
        <v>141.10899999999998</v>
      </c>
      <c r="Q46" s="3">
        <v>149.19400000000002</v>
      </c>
      <c r="R46" s="3">
        <v>203.01500000000001</v>
      </c>
      <c r="S46" s="3">
        <v>266.10500000000002</v>
      </c>
      <c r="T46" s="3">
        <v>332.45</v>
      </c>
    </row>
    <row r="47" spans="1:20" ht="15" customHeight="1" x14ac:dyDescent="0.2">
      <c r="A47" s="39" t="s">
        <v>20</v>
      </c>
      <c r="B47" s="40" t="s">
        <v>25</v>
      </c>
      <c r="C47" s="40" t="s">
        <v>26</v>
      </c>
      <c r="D47" s="40" t="s">
        <v>66</v>
      </c>
      <c r="E47" s="40" t="s">
        <v>83</v>
      </c>
      <c r="F47" s="40" t="s">
        <v>90</v>
      </c>
      <c r="G47" s="40" t="s">
        <v>92</v>
      </c>
      <c r="H47" s="40" t="s">
        <v>119</v>
      </c>
      <c r="I47" s="40" t="s">
        <v>121</v>
      </c>
      <c r="L47" s="7" t="s">
        <v>12</v>
      </c>
      <c r="M47" s="5"/>
      <c r="N47" s="5"/>
      <c r="O47" s="5"/>
      <c r="P47" s="5"/>
      <c r="Q47" s="5"/>
      <c r="R47" s="5"/>
      <c r="S47" s="5"/>
      <c r="T47" s="5"/>
    </row>
    <row r="48" spans="1:20" ht="15" customHeight="1" x14ac:dyDescent="0.2">
      <c r="A48" s="24" t="s">
        <v>21</v>
      </c>
      <c r="B48" s="25">
        <f t="shared" ref="B48:H48" si="31">B41</f>
        <v>177.91082399999999</v>
      </c>
      <c r="C48" s="25">
        <f t="shared" si="31"/>
        <v>94.911085</v>
      </c>
      <c r="D48" s="25">
        <f t="shared" si="31"/>
        <v>177.66151400000001</v>
      </c>
      <c r="E48" s="25">
        <f t="shared" si="31"/>
        <v>759.81299999999999</v>
      </c>
      <c r="F48" s="25">
        <f t="shared" si="31"/>
        <v>1612.5840000000001</v>
      </c>
      <c r="G48" s="25">
        <f t="shared" si="31"/>
        <v>1150.97</v>
      </c>
      <c r="H48" s="25">
        <f t="shared" si="31"/>
        <v>-307.47000000000003</v>
      </c>
      <c r="I48" s="25">
        <f t="shared" ref="I48" si="32">I41</f>
        <v>2379.2649999999999</v>
      </c>
      <c r="L48" s="7" t="s">
        <v>122</v>
      </c>
      <c r="M48" s="2"/>
      <c r="N48" s="2"/>
      <c r="O48" s="2"/>
      <c r="P48" s="5"/>
      <c r="Q48" s="2"/>
      <c r="R48" s="2"/>
      <c r="S48" s="2"/>
      <c r="T48" s="64"/>
    </row>
    <row r="49" spans="1:22" ht="15" customHeight="1" x14ac:dyDescent="0.2">
      <c r="A49" s="7" t="s">
        <v>22</v>
      </c>
      <c r="B49" s="3">
        <v>-17.915502</v>
      </c>
      <c r="C49" s="3">
        <v>-40.174028</v>
      </c>
      <c r="D49" s="3">
        <v>-64.025986000000003</v>
      </c>
      <c r="E49" s="3">
        <v>-889.95400000000006</v>
      </c>
      <c r="F49" s="3">
        <v>-2051.0650000000001</v>
      </c>
      <c r="G49" s="3">
        <v>-1713.461</v>
      </c>
      <c r="H49" s="3">
        <v>-1209.3900000000001</v>
      </c>
      <c r="I49" s="3">
        <v>-1362.1590000000001</v>
      </c>
      <c r="L49" s="24"/>
      <c r="M49" s="25">
        <f t="shared" ref="M49:T49" si="33">(M26-M35-M12)</f>
        <v>95.626239999999996</v>
      </c>
      <c r="N49" s="25">
        <f t="shared" si="33"/>
        <v>169.34645099999994</v>
      </c>
      <c r="O49" s="25">
        <f t="shared" si="33"/>
        <v>256.41379799999993</v>
      </c>
      <c r="P49" s="25">
        <f t="shared" si="33"/>
        <v>988.88299999999981</v>
      </c>
      <c r="Q49" s="25">
        <f t="shared" si="33"/>
        <v>548.56499999999937</v>
      </c>
      <c r="R49" s="25">
        <f t="shared" si="33"/>
        <v>326.25199999999973</v>
      </c>
      <c r="S49" s="25">
        <f t="shared" si="33"/>
        <v>1176.4380000000006</v>
      </c>
      <c r="T49" s="25">
        <f t="shared" si="33"/>
        <v>783.41399999999999</v>
      </c>
    </row>
    <row r="50" spans="1:22" ht="15" customHeight="1" x14ac:dyDescent="0.2">
      <c r="A50" s="24" t="s">
        <v>23</v>
      </c>
      <c r="B50" s="25">
        <f t="shared" ref="B50:D50" si="34">SUM(B48:B49)</f>
        <v>159.99532199999999</v>
      </c>
      <c r="C50" s="25">
        <f t="shared" si="34"/>
        <v>54.737057</v>
      </c>
      <c r="D50" s="25">
        <f t="shared" si="34"/>
        <v>113.63552800000001</v>
      </c>
      <c r="E50" s="25">
        <f t="shared" ref="E50:H50" si="35">SUM(E48:E49)</f>
        <v>-130.14100000000008</v>
      </c>
      <c r="F50" s="25">
        <f t="shared" si="35"/>
        <v>-438.48099999999999</v>
      </c>
      <c r="G50" s="25">
        <f t="shared" si="35"/>
        <v>-562.49099999999999</v>
      </c>
      <c r="H50" s="25">
        <f t="shared" si="35"/>
        <v>-1516.8600000000001</v>
      </c>
      <c r="I50" s="25">
        <f t="shared" ref="I50" si="36">SUM(I48:I49)</f>
        <v>1017.1059999999998</v>
      </c>
      <c r="L50" s="24" t="s">
        <v>70</v>
      </c>
      <c r="M50" s="25">
        <f t="shared" ref="M50:T50" si="37">M17+M26</f>
        <v>407.74877400000003</v>
      </c>
      <c r="N50" s="25">
        <f t="shared" si="37"/>
        <v>685.11896899999999</v>
      </c>
      <c r="O50" s="25">
        <f t="shared" si="37"/>
        <v>961.71440699999994</v>
      </c>
      <c r="P50" s="25">
        <f t="shared" si="37"/>
        <v>4810.8619999999992</v>
      </c>
      <c r="Q50" s="25">
        <f t="shared" si="37"/>
        <v>6691.0409999999993</v>
      </c>
      <c r="R50" s="25">
        <f t="shared" si="37"/>
        <v>8763.0529999999999</v>
      </c>
      <c r="S50" s="25">
        <f t="shared" si="37"/>
        <v>11847.335999999999</v>
      </c>
      <c r="T50" s="25">
        <f t="shared" si="37"/>
        <v>12392.263999999999</v>
      </c>
    </row>
    <row r="51" spans="1:22" ht="15" customHeight="1" x14ac:dyDescent="0.2">
      <c r="A51" s="1" t="s">
        <v>24</v>
      </c>
      <c r="L51" s="24" t="s">
        <v>71</v>
      </c>
      <c r="M51" s="25">
        <f>M45+M35+M13+M10+M46+M48</f>
        <v>407.74877400000003</v>
      </c>
      <c r="N51" s="25">
        <f>N45+N35+N13+N10+N46+N48</f>
        <v>685.11896900000011</v>
      </c>
      <c r="O51" s="25">
        <f>O45+O35+O13+O10+O46+O48+O44</f>
        <v>961.71440800000016</v>
      </c>
      <c r="P51" s="25">
        <f>P45+P35+P13+P10+P46+P48+P44</f>
        <v>4810.8650000000007</v>
      </c>
      <c r="Q51" s="25">
        <f>Q45+Q35+Q13+Q10+Q46+Q48+Q44</f>
        <v>6691.0410000000002</v>
      </c>
      <c r="R51" s="25">
        <f>R45+R35+R13+R10+R46+R48+R44</f>
        <v>8763.0530000000017</v>
      </c>
      <c r="S51" s="25">
        <f>S10+S13+S35+S43</f>
        <v>11847.306000000002</v>
      </c>
      <c r="T51" s="25">
        <f>T10+T35+T43</f>
        <v>9668.268</v>
      </c>
    </row>
    <row r="52" spans="1:22" ht="15" customHeight="1" x14ac:dyDescent="0.2">
      <c r="L52" s="12" t="s">
        <v>37</v>
      </c>
      <c r="M52" s="7"/>
      <c r="N52" s="7"/>
      <c r="O52" s="3"/>
      <c r="P52" s="5"/>
      <c r="Q52" s="5"/>
      <c r="R52" s="5"/>
      <c r="S52" s="5"/>
      <c r="T52" s="5"/>
    </row>
    <row r="53" spans="1:22" ht="15" customHeight="1" x14ac:dyDescent="0.2">
      <c r="A53" s="39" t="s">
        <v>20</v>
      </c>
      <c r="B53" s="40" t="s">
        <v>25</v>
      </c>
      <c r="C53" s="40" t="s">
        <v>26</v>
      </c>
      <c r="D53" s="40" t="s">
        <v>66</v>
      </c>
      <c r="E53" s="40" t="s">
        <v>83</v>
      </c>
      <c r="F53" s="40" t="s">
        <v>90</v>
      </c>
      <c r="G53" s="40" t="s">
        <v>92</v>
      </c>
      <c r="H53" s="40" t="s">
        <v>119</v>
      </c>
      <c r="I53" s="40" t="s">
        <v>121</v>
      </c>
      <c r="L53" s="39" t="s">
        <v>38</v>
      </c>
      <c r="M53" s="55" t="s">
        <v>25</v>
      </c>
      <c r="N53" s="55" t="s">
        <v>26</v>
      </c>
      <c r="O53" s="55" t="s">
        <v>66</v>
      </c>
      <c r="P53" s="56" t="s">
        <v>83</v>
      </c>
      <c r="Q53" s="57" t="s">
        <v>90</v>
      </c>
      <c r="R53" s="57" t="s">
        <v>92</v>
      </c>
      <c r="S53" s="56" t="s">
        <v>119</v>
      </c>
      <c r="T53" s="56" t="s">
        <v>121</v>
      </c>
    </row>
    <row r="54" spans="1:22" ht="15" customHeight="1" x14ac:dyDescent="0.2">
      <c r="A54" s="12" t="s">
        <v>58</v>
      </c>
      <c r="B54" s="17" t="s">
        <v>69</v>
      </c>
      <c r="C54" s="17">
        <v>3640320</v>
      </c>
      <c r="D54" s="17">
        <v>5864350</v>
      </c>
      <c r="E54" s="17">
        <v>5864350</v>
      </c>
      <c r="F54" s="17">
        <v>12149218</v>
      </c>
      <c r="G54" s="17">
        <v>27153488</v>
      </c>
      <c r="H54" s="17">
        <v>27153488</v>
      </c>
      <c r="I54" s="17">
        <v>27153488</v>
      </c>
      <c r="L54" s="18" t="s">
        <v>93</v>
      </c>
      <c r="M54" s="41" t="s">
        <v>69</v>
      </c>
      <c r="N54" s="22">
        <v>435</v>
      </c>
      <c r="O54" s="22">
        <v>806.1</v>
      </c>
      <c r="P54" s="2">
        <v>1508.8</v>
      </c>
      <c r="Q54" s="22">
        <v>1045</v>
      </c>
      <c r="R54" s="22">
        <v>1292.9000000000001</v>
      </c>
      <c r="S54" s="22">
        <v>920.05</v>
      </c>
      <c r="T54" s="22">
        <v>417</v>
      </c>
    </row>
    <row r="55" spans="1:22" ht="15" customHeight="1" x14ac:dyDescent="0.2">
      <c r="A55" s="12" t="s">
        <v>59</v>
      </c>
      <c r="B55" s="5"/>
      <c r="C55" s="5">
        <f t="shared" ref="C55:I55" si="38">C54*N54/1000000</f>
        <v>1583.5391999999999</v>
      </c>
      <c r="D55" s="5">
        <f t="shared" si="38"/>
        <v>4727.2525349999996</v>
      </c>
      <c r="E55" s="5">
        <f t="shared" si="38"/>
        <v>8848.1312799999996</v>
      </c>
      <c r="F55" s="5">
        <f t="shared" si="38"/>
        <v>12695.93281</v>
      </c>
      <c r="G55" s="5">
        <f t="shared" si="38"/>
        <v>35106.744635200004</v>
      </c>
      <c r="H55" s="5">
        <f t="shared" si="38"/>
        <v>24982.566634399998</v>
      </c>
      <c r="I55" s="5">
        <f t="shared" si="38"/>
        <v>11323.004496</v>
      </c>
      <c r="L55" s="18" t="s">
        <v>39</v>
      </c>
      <c r="M55" s="32">
        <f t="shared" ref="M55:R55" si="39">B33</f>
        <v>28.14</v>
      </c>
      <c r="N55" s="32">
        <f t="shared" si="39"/>
        <v>21.89</v>
      </c>
      <c r="O55" s="32">
        <f t="shared" si="39"/>
        <v>27.86</v>
      </c>
      <c r="P55" s="32">
        <f t="shared" si="39"/>
        <v>95.29</v>
      </c>
      <c r="Q55" s="32">
        <f t="shared" si="39"/>
        <v>44.32</v>
      </c>
      <c r="R55" s="32">
        <f t="shared" si="39"/>
        <v>40.97</v>
      </c>
      <c r="S55" s="32">
        <v>40.51</v>
      </c>
      <c r="T55" s="32">
        <f>I33</f>
        <v>31.5</v>
      </c>
    </row>
    <row r="56" spans="1:22" ht="15" customHeight="1" x14ac:dyDescent="0.2">
      <c r="A56" s="24" t="s">
        <v>62</v>
      </c>
      <c r="B56" s="25"/>
      <c r="C56" s="25">
        <f t="shared" ref="C56:I56" si="40">N13</f>
        <v>5.8639740000000007</v>
      </c>
      <c r="D56" s="25">
        <f t="shared" si="40"/>
        <v>6.2051990000000004</v>
      </c>
      <c r="E56" s="25">
        <f t="shared" si="40"/>
        <v>775.31299999999999</v>
      </c>
      <c r="F56" s="25">
        <f t="shared" si="40"/>
        <v>1247.1199999999999</v>
      </c>
      <c r="G56" s="25">
        <f t="shared" si="40"/>
        <v>2080.31</v>
      </c>
      <c r="H56" s="25">
        <f t="shared" si="40"/>
        <v>3625.74</v>
      </c>
      <c r="I56" s="25">
        <f t="shared" si="40"/>
        <v>2723.9929999999999</v>
      </c>
      <c r="L56" s="18" t="s">
        <v>40</v>
      </c>
      <c r="M56" s="45" t="s">
        <v>69</v>
      </c>
      <c r="N56" s="32">
        <f>(N10*1000000)/C54</f>
        <v>130.28426676775669</v>
      </c>
      <c r="O56" s="32">
        <f>(O10*1000000)/D54</f>
        <v>100.91052904413959</v>
      </c>
      <c r="P56" s="32">
        <f>(P10*1000000)/E54</f>
        <v>513.93897021835323</v>
      </c>
      <c r="Q56" s="32">
        <f>(Q10*1000000)/E54</f>
        <v>683.26822239463877</v>
      </c>
      <c r="R56" s="32">
        <f>(R10*1000000)/G54</f>
        <v>187.29538540315707</v>
      </c>
      <c r="S56" s="32">
        <f>(S10*1000000)/H54</f>
        <v>238.97596507675183</v>
      </c>
      <c r="T56" s="32">
        <f>(T10*1000000)/I54</f>
        <v>272.54774782525175</v>
      </c>
    </row>
    <row r="57" spans="1:22" ht="15" customHeight="1" x14ac:dyDescent="0.2">
      <c r="A57" s="24" t="s">
        <v>60</v>
      </c>
      <c r="B57" s="25"/>
      <c r="C57" s="25">
        <f t="shared" ref="C57:I57" si="41">N30</f>
        <v>50.347675000000002</v>
      </c>
      <c r="D57" s="25">
        <f t="shared" si="41"/>
        <v>115.55900200000001</v>
      </c>
      <c r="E57" s="25">
        <f t="shared" si="41"/>
        <v>36.378</v>
      </c>
      <c r="F57" s="25">
        <f t="shared" si="41"/>
        <v>126.79600000000001</v>
      </c>
      <c r="G57" s="25">
        <f t="shared" si="41"/>
        <v>309.83999999999997</v>
      </c>
      <c r="H57" s="25">
        <f t="shared" si="41"/>
        <v>453.8</v>
      </c>
      <c r="I57" s="25">
        <f t="shared" si="41"/>
        <v>81.503</v>
      </c>
      <c r="L57" s="18" t="s">
        <v>41</v>
      </c>
      <c r="M57" s="46" t="s">
        <v>69</v>
      </c>
      <c r="N57" s="6">
        <v>5</v>
      </c>
      <c r="O57" s="6">
        <v>4</v>
      </c>
      <c r="P57" s="6">
        <v>7</v>
      </c>
      <c r="Q57" s="6">
        <v>11</v>
      </c>
      <c r="R57" s="6">
        <v>5</v>
      </c>
      <c r="S57" s="6">
        <v>3.5</v>
      </c>
      <c r="T57" s="6">
        <v>1</v>
      </c>
    </row>
    <row r="58" spans="1:22" ht="15" customHeight="1" x14ac:dyDescent="0.2">
      <c r="A58" s="24" t="s">
        <v>61</v>
      </c>
      <c r="B58" s="25"/>
      <c r="C58" s="25">
        <f t="shared" ref="C58:D58" si="42">C55+C56-C57</f>
        <v>1539.0554990000001</v>
      </c>
      <c r="D58" s="25">
        <f t="shared" si="42"/>
        <v>4617.8987319999997</v>
      </c>
      <c r="E58" s="25">
        <f>E55+E56-E57</f>
        <v>9587.0662799999991</v>
      </c>
      <c r="F58" s="25">
        <f>F55+F56-F57</f>
        <v>13816.256810000001</v>
      </c>
      <c r="G58" s="25">
        <f>G55+G56-G57</f>
        <v>36877.214635200005</v>
      </c>
      <c r="H58" s="25">
        <f>H55+H56-H57</f>
        <v>28154.506634399997</v>
      </c>
      <c r="I58" s="25">
        <f>I55+I56-I57</f>
        <v>13965.494495999999</v>
      </c>
      <c r="L58" s="18" t="s">
        <v>42</v>
      </c>
      <c r="M58" s="42" t="s">
        <v>69</v>
      </c>
      <c r="N58" s="33">
        <f t="shared" ref="N58:O58" si="43">(N54/N55)</f>
        <v>19.87208771128369</v>
      </c>
      <c r="O58" s="33">
        <f t="shared" si="43"/>
        <v>28.933955491744438</v>
      </c>
      <c r="P58" s="33">
        <f>(P54/P55)</f>
        <v>15.83377059502571</v>
      </c>
      <c r="Q58" s="33">
        <f>(Q54/Q55)</f>
        <v>23.578519855595669</v>
      </c>
      <c r="R58" s="33">
        <f>(R54/R55)</f>
        <v>31.557237002684893</v>
      </c>
      <c r="S58" s="33">
        <f>(S54/S55)</f>
        <v>22.711676129350778</v>
      </c>
      <c r="T58" s="33">
        <f>(T54/T55)</f>
        <v>13.238095238095237</v>
      </c>
      <c r="U58" s="11"/>
    </row>
    <row r="59" spans="1:22" ht="15" customHeight="1" x14ac:dyDescent="0.2">
      <c r="L59" s="18" t="s">
        <v>43</v>
      </c>
      <c r="M59" s="42" t="s">
        <v>69</v>
      </c>
      <c r="N59" s="33">
        <f t="shared" ref="N59:T59" si="44">(N54/N56)</f>
        <v>3.3388528852484258</v>
      </c>
      <c r="O59" s="33">
        <f t="shared" si="44"/>
        <v>7.9882645313196337</v>
      </c>
      <c r="P59" s="33">
        <f t="shared" si="44"/>
        <v>2.9357571373872813</v>
      </c>
      <c r="Q59" s="33">
        <f t="shared" si="44"/>
        <v>1.5294140218282155</v>
      </c>
      <c r="R59" s="33">
        <f t="shared" si="44"/>
        <v>6.9029997573992921</v>
      </c>
      <c r="S59" s="33">
        <f t="shared" si="44"/>
        <v>3.8499687602663633</v>
      </c>
      <c r="T59" s="33">
        <f t="shared" si="44"/>
        <v>1.5300071393999046</v>
      </c>
      <c r="U59" s="11"/>
    </row>
    <row r="60" spans="1:22" ht="15" customHeight="1" x14ac:dyDescent="0.2">
      <c r="L60" s="18" t="s">
        <v>44</v>
      </c>
      <c r="M60" s="43" t="s">
        <v>69</v>
      </c>
      <c r="N60" s="34">
        <f>C58/C13</f>
        <v>7.7446560277951324</v>
      </c>
      <c r="O60" s="34">
        <f>D58/D13</f>
        <v>16.556604061492159</v>
      </c>
      <c r="P60" s="33">
        <f>E58/E13</f>
        <v>5.0851081565907625</v>
      </c>
      <c r="Q60" s="33">
        <f>F58/F13</f>
        <v>7.4049962482621421</v>
      </c>
      <c r="R60" s="33">
        <f>G58/G13</f>
        <v>17.975004976742348</v>
      </c>
      <c r="S60" s="33">
        <f>H58/2062</f>
        <v>13.653979939088263</v>
      </c>
      <c r="T60" s="33">
        <f>I58/I13</f>
        <v>8.5035264157124182</v>
      </c>
      <c r="U60" s="11"/>
      <c r="V60" s="4"/>
    </row>
    <row r="61" spans="1:22" ht="15" customHeight="1" x14ac:dyDescent="0.2">
      <c r="L61" s="19" t="s">
        <v>45</v>
      </c>
      <c r="M61" s="35">
        <f t="shared" ref="M61:T61" si="45">(B26/M10)</f>
        <v>0.45026577339238366</v>
      </c>
      <c r="N61" s="35">
        <f t="shared" si="45"/>
        <v>0.24500419504303358</v>
      </c>
      <c r="O61" s="35">
        <f t="shared" si="45"/>
        <v>0.27607900737743818</v>
      </c>
      <c r="P61" s="36">
        <f t="shared" si="45"/>
        <v>0.4420037306920751</v>
      </c>
      <c r="Q61" s="36">
        <f t="shared" si="45"/>
        <v>0.31494682704238963</v>
      </c>
      <c r="R61" s="36">
        <f t="shared" si="45"/>
        <v>0.24564943863438896</v>
      </c>
      <c r="S61" s="36">
        <f t="shared" si="45"/>
        <v>0.19716811339011914</v>
      </c>
      <c r="T61" s="36">
        <f t="shared" si="45"/>
        <v>0.13858929695368857</v>
      </c>
      <c r="U61" s="11"/>
      <c r="V61" s="16"/>
    </row>
    <row r="62" spans="1:22" ht="15" customHeight="1" x14ac:dyDescent="0.2">
      <c r="L62" s="19" t="s">
        <v>46</v>
      </c>
      <c r="M62" s="35">
        <f t="shared" ref="M62:T62" si="46">(B21+B19)/M14</f>
        <v>0.45013092845777042</v>
      </c>
      <c r="N62" s="35">
        <f t="shared" si="46"/>
        <v>0.3539762756212067</v>
      </c>
      <c r="O62" s="35">
        <f t="shared" si="46"/>
        <v>0.40002187024146646</v>
      </c>
      <c r="P62" s="36">
        <f t="shared" si="46"/>
        <v>0.48390376875016017</v>
      </c>
      <c r="Q62" s="36">
        <f t="shared" si="46"/>
        <v>0.34167531288924252</v>
      </c>
      <c r="R62" s="36">
        <f t="shared" si="46"/>
        <v>0.30365079194737254</v>
      </c>
      <c r="S62" s="36">
        <f t="shared" si="46"/>
        <v>0.23334746097207837</v>
      </c>
      <c r="T62" s="36">
        <f t="shared" si="46"/>
        <v>0.17480082346266124</v>
      </c>
    </row>
    <row r="63" spans="1:22" ht="11.25" x14ac:dyDescent="0.2">
      <c r="L63" s="18" t="s">
        <v>47</v>
      </c>
      <c r="M63" s="34">
        <f t="shared" ref="M63:T63" si="47">(M13/M10)</f>
        <v>4.2688515314040054E-2</v>
      </c>
      <c r="N63" s="34">
        <f t="shared" si="47"/>
        <v>1.2364042840822478E-2</v>
      </c>
      <c r="O63" s="34">
        <f t="shared" si="47"/>
        <v>1.0485746364189122E-2</v>
      </c>
      <c r="P63" s="33">
        <f t="shared" si="47"/>
        <v>0.25724422495900684</v>
      </c>
      <c r="Q63" s="33">
        <f t="shared" si="47"/>
        <v>0.31124124141111731</v>
      </c>
      <c r="R63" s="33">
        <f t="shared" si="47"/>
        <v>0.40904901820252493</v>
      </c>
      <c r="S63" s="33">
        <f t="shared" si="47"/>
        <v>0.55874906438264815</v>
      </c>
      <c r="T63" s="33">
        <f t="shared" si="47"/>
        <v>0.36807622386334554</v>
      </c>
    </row>
    <row r="64" spans="1:22" ht="11.25" x14ac:dyDescent="0.2">
      <c r="L64" s="18" t="s">
        <v>48</v>
      </c>
      <c r="M64" s="34">
        <f t="shared" ref="M64:T64" si="48">(M13-M30)/M10</f>
        <v>-7.5317265358221825E-3</v>
      </c>
      <c r="N64" s="34">
        <f t="shared" si="48"/>
        <v>-9.3792773447211347E-2</v>
      </c>
      <c r="O64" s="34">
        <f t="shared" si="48"/>
        <v>-0.18478960017519236</v>
      </c>
      <c r="P64" s="33">
        <f t="shared" si="48"/>
        <v>0.24517422172733297</v>
      </c>
      <c r="Q64" s="33">
        <f t="shared" si="48"/>
        <v>0.27959701756259908</v>
      </c>
      <c r="R64" s="33">
        <f t="shared" si="48"/>
        <v>0.34812552708828221</v>
      </c>
      <c r="S64" s="33">
        <f t="shared" si="48"/>
        <v>0.48881566446515662</v>
      </c>
      <c r="T64" s="33">
        <f t="shared" si="48"/>
        <v>0.35706323063115503</v>
      </c>
      <c r="V64" s="15"/>
    </row>
    <row r="65" spans="12:22" s="48" customFormat="1" ht="15" customHeight="1" x14ac:dyDescent="0.2">
      <c r="L65" s="49" t="s">
        <v>49</v>
      </c>
      <c r="M65" s="50" t="s">
        <v>69</v>
      </c>
      <c r="N65" s="51">
        <f t="shared" ref="N65:T65" si="49">(N57/N54)</f>
        <v>1.1494252873563218E-2</v>
      </c>
      <c r="O65" s="51">
        <f t="shared" ref="O65" si="50">(O57/O54)</f>
        <v>4.9621635032874329E-3</v>
      </c>
      <c r="P65" s="51">
        <f t="shared" si="49"/>
        <v>4.6394485683987274E-3</v>
      </c>
      <c r="Q65" s="51">
        <f t="shared" si="49"/>
        <v>1.0526315789473684E-2</v>
      </c>
      <c r="R65" s="51">
        <f t="shared" si="49"/>
        <v>3.8672751179518908E-3</v>
      </c>
      <c r="S65" s="51">
        <f t="shared" si="49"/>
        <v>3.8041410792891694E-3</v>
      </c>
      <c r="T65" s="51">
        <f t="shared" si="49"/>
        <v>2.3980815347721821E-3</v>
      </c>
    </row>
    <row r="66" spans="12:22" ht="15" customHeight="1" x14ac:dyDescent="0.2">
      <c r="L66" s="18" t="s">
        <v>50</v>
      </c>
      <c r="M66" s="44" t="s">
        <v>69</v>
      </c>
      <c r="N66" s="37">
        <f>(AVERAGE(M29:N29)/C4*365)</f>
        <v>67.925299958424674</v>
      </c>
      <c r="O66" s="37">
        <f t="shared" ref="O66:T66" si="51">(AVERAGE(O29,N29))/(D4)*365</f>
        <v>81.547493187347015</v>
      </c>
      <c r="P66" s="37">
        <f t="shared" si="51"/>
        <v>46.408035954060701</v>
      </c>
      <c r="Q66" s="37">
        <f t="shared" si="51"/>
        <v>73.395691428568071</v>
      </c>
      <c r="R66" s="37">
        <f t="shared" si="51"/>
        <v>69.966384803921571</v>
      </c>
      <c r="S66" s="37">
        <f t="shared" si="51"/>
        <v>75.594370502037634</v>
      </c>
      <c r="T66" s="37">
        <f t="shared" si="51"/>
        <v>99.809710651634205</v>
      </c>
      <c r="V66" s="14"/>
    </row>
    <row r="67" spans="12:22" ht="15" customHeight="1" x14ac:dyDescent="0.2">
      <c r="L67" s="18" t="s">
        <v>51</v>
      </c>
      <c r="M67" s="44" t="s">
        <v>69</v>
      </c>
      <c r="N67" s="37">
        <f>AVERAGE(M38:N38)/(D7)*365</f>
        <v>30.130475277410238</v>
      </c>
      <c r="O67" s="37">
        <f t="shared" ref="O67:T67" si="52">AVERAGE(O38,N38)/SUM(D8:D10)*365</f>
        <v>92.118932739075774</v>
      </c>
      <c r="P67" s="37">
        <f t="shared" si="52"/>
        <v>42.484104380074101</v>
      </c>
      <c r="Q67" s="37">
        <f t="shared" si="52"/>
        <v>75.284955160173126</v>
      </c>
      <c r="R67" s="37">
        <f t="shared" si="52"/>
        <v>86.391137294771227</v>
      </c>
      <c r="S67" s="37">
        <f t="shared" si="52"/>
        <v>54.366085775671955</v>
      </c>
      <c r="T67" s="37">
        <f t="shared" si="52"/>
        <v>76.709615016466799</v>
      </c>
    </row>
    <row r="68" spans="12:22" ht="15" customHeight="1" x14ac:dyDescent="0.2">
      <c r="L68" s="12" t="s">
        <v>52</v>
      </c>
      <c r="M68" s="44" t="s">
        <v>69</v>
      </c>
      <c r="N68" s="37">
        <f>AVERAGE(M27:N27)/SUM(C8:C10)*365</f>
        <v>50.625788409229095</v>
      </c>
      <c r="O68" s="37">
        <f t="shared" ref="O68:T68" si="53">AVERAGE(O27,N27)/SUM(D8:D10)*365</f>
        <v>40.417256408650964</v>
      </c>
      <c r="P68" s="37">
        <f t="shared" si="53"/>
        <v>23.544410584422678</v>
      </c>
      <c r="Q68" s="37">
        <f t="shared" si="53"/>
        <v>43.068851487390027</v>
      </c>
      <c r="R68" s="37">
        <f t="shared" si="53"/>
        <v>51.825285740109656</v>
      </c>
      <c r="S68" s="37">
        <f t="shared" si="53"/>
        <v>43.731059248044275</v>
      </c>
      <c r="T68" s="37">
        <f t="shared" si="53"/>
        <v>63.581327865799857</v>
      </c>
    </row>
    <row r="69" spans="12:22" ht="15" customHeight="1" x14ac:dyDescent="0.2">
      <c r="L69" s="18" t="s">
        <v>84</v>
      </c>
      <c r="M69" s="44" t="s">
        <v>69</v>
      </c>
      <c r="N69" s="37">
        <f t="shared" ref="N69:T69" si="54">N66-N67+N68</f>
        <v>88.420613090243535</v>
      </c>
      <c r="O69" s="37">
        <f t="shared" si="54"/>
        <v>29.845816856922205</v>
      </c>
      <c r="P69" s="37">
        <f t="shared" si="54"/>
        <v>27.468342158409278</v>
      </c>
      <c r="Q69" s="37">
        <f t="shared" si="54"/>
        <v>41.179587755784972</v>
      </c>
      <c r="R69" s="37">
        <f t="shared" si="54"/>
        <v>35.40053324926</v>
      </c>
      <c r="S69" s="37">
        <f t="shared" si="54"/>
        <v>64.959343974409961</v>
      </c>
      <c r="T69" s="37">
        <f t="shared" si="54"/>
        <v>86.68142350096727</v>
      </c>
    </row>
    <row r="70" spans="12:22" ht="15" customHeight="1" x14ac:dyDescent="0.2">
      <c r="L70" s="12" t="s">
        <v>86</v>
      </c>
      <c r="M70" s="44" t="s">
        <v>69</v>
      </c>
      <c r="N70" s="37">
        <f t="shared" ref="N70:T70" si="55">AVERAGE(M49:N49)/C4*365</f>
        <v>64.576283887668126</v>
      </c>
      <c r="O70" s="37">
        <f t="shared" si="55"/>
        <v>63.622119452566174</v>
      </c>
      <c r="P70" s="37">
        <f t="shared" si="55"/>
        <v>32.418996700280573</v>
      </c>
      <c r="Q70" s="37">
        <f t="shared" si="55"/>
        <v>41.187442145718926</v>
      </c>
      <c r="R70" s="37">
        <f t="shared" si="55"/>
        <v>21.151841878643328</v>
      </c>
      <c r="S70" s="37">
        <f t="shared" si="55"/>
        <v>23.778802133009631</v>
      </c>
      <c r="T70" s="37">
        <f t="shared" si="55"/>
        <v>34.005643442585551</v>
      </c>
    </row>
    <row r="71" spans="12:22" ht="15" customHeight="1" x14ac:dyDescent="0.2">
      <c r="L71" s="12" t="s">
        <v>67</v>
      </c>
      <c r="M71" s="36">
        <f t="shared" ref="M71:T71" si="56">B19/M13</f>
        <v>0.49962574919657055</v>
      </c>
      <c r="N71" s="36">
        <f t="shared" si="56"/>
        <v>0.43434674164653519</v>
      </c>
      <c r="O71" s="36">
        <f t="shared" si="56"/>
        <v>0.75596576354763156</v>
      </c>
      <c r="P71" s="36">
        <f t="shared" si="56"/>
        <v>4.7419558294521054E-2</v>
      </c>
      <c r="Q71" s="36">
        <f t="shared" si="56"/>
        <v>1.8654179228943486E-2</v>
      </c>
      <c r="R71" s="36">
        <f t="shared" si="56"/>
        <v>2.4025265465243164E-2</v>
      </c>
      <c r="S71" s="36">
        <f t="shared" si="56"/>
        <v>1.7869455614577992E-2</v>
      </c>
      <c r="T71" s="36">
        <f t="shared" si="56"/>
        <v>3.9620880083025181E-2</v>
      </c>
    </row>
    <row r="72" spans="12:22" ht="15" customHeight="1" x14ac:dyDescent="0.2">
      <c r="L72" s="12" t="s">
        <v>85</v>
      </c>
      <c r="M72" s="38">
        <f>(C13-C18)/C19</f>
        <v>71.311855761174584</v>
      </c>
      <c r="N72" s="38">
        <f>(D13-D18)/D19</f>
        <v>54.793494791424621</v>
      </c>
      <c r="O72" s="38">
        <f t="shared" ref="O72:T72" si="57">(D13-D18)/D19</f>
        <v>54.793494791424621</v>
      </c>
      <c r="P72" s="38">
        <f t="shared" si="57"/>
        <v>47.569971440228414</v>
      </c>
      <c r="Q72" s="38">
        <f t="shared" si="57"/>
        <v>73.423959766162312</v>
      </c>
      <c r="R72" s="38">
        <f t="shared" si="57"/>
        <v>36.798399359743911</v>
      </c>
      <c r="S72" s="38">
        <f t="shared" si="57"/>
        <v>27.050625096465467</v>
      </c>
      <c r="T72" s="38">
        <f t="shared" si="57"/>
        <v>12.512392635763074</v>
      </c>
    </row>
    <row r="73" spans="12:22" ht="15" customHeight="1" x14ac:dyDescent="0.2">
      <c r="L73" s="1" t="s">
        <v>88</v>
      </c>
      <c r="M73" s="13" t="s">
        <v>117</v>
      </c>
      <c r="P73" s="10"/>
      <c r="S73" s="10"/>
      <c r="T73" s="10"/>
    </row>
    <row r="74" spans="12:22" ht="15" customHeight="1" x14ac:dyDescent="0.2">
      <c r="Q74" s="13"/>
    </row>
    <row r="75" spans="12:22" ht="15" customHeight="1" x14ac:dyDescent="0.2">
      <c r="Q75" s="13"/>
    </row>
    <row r="76" spans="12:22" ht="15" customHeight="1" x14ac:dyDescent="0.2">
      <c r="Q76" s="13"/>
    </row>
    <row r="77" spans="12:22" ht="15" customHeight="1" x14ac:dyDescent="0.2">
      <c r="Q77" s="13"/>
    </row>
    <row r="78" spans="12:22" ht="15" customHeight="1" x14ac:dyDescent="0.2">
      <c r="Q78" s="13"/>
    </row>
    <row r="79" spans="12:22" ht="15" customHeight="1" x14ac:dyDescent="0.2">
      <c r="Q79" s="13"/>
    </row>
    <row r="80" spans="12:22" ht="15" customHeight="1" x14ac:dyDescent="0.2">
      <c r="Q80" s="13"/>
    </row>
    <row r="81" spans="17:17" ht="15" customHeight="1" x14ac:dyDescent="0.2">
      <c r="Q81" s="13"/>
    </row>
  </sheetData>
  <mergeCells count="3">
    <mergeCell ref="A2:H2"/>
    <mergeCell ref="A1:S1"/>
    <mergeCell ref="L2:S2"/>
  </mergeCells>
  <phoneticPr fontId="7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v21</cp:lastModifiedBy>
  <cp:lastPrinted>2023-03-27T04:17:33Z</cp:lastPrinted>
  <dcterms:created xsi:type="dcterms:W3CDTF">2017-09-19T08:05:47Z</dcterms:created>
  <dcterms:modified xsi:type="dcterms:W3CDTF">2023-06-16T11:39:46Z</dcterms:modified>
</cp:coreProperties>
</file>