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v15\Downloads\"/>
    </mc:Choice>
  </mc:AlternateContent>
  <xr:revisionPtr revIDLastSave="0" documentId="8_{12AB589E-3CAD-4D98-BC26-959F3D56C3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intercom FY23" sheetId="1" r:id="rId1"/>
  </sheets>
  <calcPr calcId="181029"/>
  <extLst>
    <ext uri="GoogleSheetsCustomDataVersion1">
      <go:sheetsCustomData xmlns:go="http://customooxmlschemas.google.com/" r:id="rId5" roundtripDataSignature="AMtx7mjs4FH4pKaeXy7VNP05U1ZhPoa4sg=="/>
    </ext>
  </extLst>
</workbook>
</file>

<file path=xl/calcChain.xml><?xml version="1.0" encoding="utf-8"?>
<calcChain xmlns="http://schemas.openxmlformats.org/spreadsheetml/2006/main">
  <c r="Q62" i="1" l="1"/>
  <c r="Q57" i="1"/>
  <c r="E18" i="1"/>
  <c r="E8" i="1"/>
  <c r="Q74" i="1"/>
  <c r="Q70" i="1"/>
  <c r="Q69" i="1"/>
  <c r="Q67" i="1"/>
  <c r="Q13" i="1" l="1"/>
  <c r="G6" i="1" l="1"/>
  <c r="P74" i="1"/>
  <c r="O74" i="1"/>
  <c r="N74" i="1"/>
  <c r="M74" i="1"/>
  <c r="L74" i="1"/>
  <c r="P70" i="1"/>
  <c r="O70" i="1"/>
  <c r="P69" i="1"/>
  <c r="P67" i="1"/>
  <c r="O67" i="1"/>
  <c r="N67" i="1"/>
  <c r="M67" i="1"/>
  <c r="L67" i="1"/>
  <c r="F63" i="1"/>
  <c r="E63" i="1"/>
  <c r="D63" i="1"/>
  <c r="C63" i="1"/>
  <c r="B63" i="1"/>
  <c r="G61" i="1"/>
  <c r="F61" i="1"/>
  <c r="E61" i="1"/>
  <c r="D61" i="1"/>
  <c r="C61" i="1"/>
  <c r="B61" i="1"/>
  <c r="P57" i="1"/>
  <c r="P60" i="1" s="1"/>
  <c r="O57" i="1"/>
  <c r="O60" i="1" s="1"/>
  <c r="N57" i="1"/>
  <c r="N60" i="1" s="1"/>
  <c r="M57" i="1"/>
  <c r="M60" i="1" s="1"/>
  <c r="L57" i="1"/>
  <c r="L60" i="1" s="1"/>
  <c r="G55" i="1"/>
  <c r="G57" i="1" s="1"/>
  <c r="F55" i="1"/>
  <c r="F57" i="1" s="1"/>
  <c r="E55" i="1"/>
  <c r="E57" i="1" s="1"/>
  <c r="D55" i="1"/>
  <c r="D57" i="1" s="1"/>
  <c r="C55" i="1"/>
  <c r="C57" i="1" s="1"/>
  <c r="B55" i="1"/>
  <c r="B57" i="1" s="1"/>
  <c r="G46" i="1"/>
  <c r="G47" i="1" s="1"/>
  <c r="F46" i="1"/>
  <c r="F47" i="1" s="1"/>
  <c r="E46" i="1"/>
  <c r="E47" i="1" s="1"/>
  <c r="D46" i="1"/>
  <c r="D47" i="1" s="1"/>
  <c r="C46" i="1"/>
  <c r="C47" i="1" s="1"/>
  <c r="B46" i="1"/>
  <c r="B47" i="1" s="1"/>
  <c r="N39" i="1"/>
  <c r="O69" i="1" s="1"/>
  <c r="M39" i="1"/>
  <c r="L39" i="1"/>
  <c r="Q38" i="1"/>
  <c r="P38" i="1"/>
  <c r="O38" i="1"/>
  <c r="F36" i="1"/>
  <c r="E36" i="1"/>
  <c r="F35" i="1"/>
  <c r="E35" i="1"/>
  <c r="D35" i="1"/>
  <c r="C35" i="1"/>
  <c r="Q27" i="1"/>
  <c r="P27" i="1"/>
  <c r="P52" i="1" s="1"/>
  <c r="P12" i="1" s="1"/>
  <c r="O27" i="1"/>
  <c r="O52" i="1" s="1"/>
  <c r="O12" i="1" s="1"/>
  <c r="N27" i="1"/>
  <c r="N52" i="1" s="1"/>
  <c r="M27" i="1"/>
  <c r="M52" i="1" s="1"/>
  <c r="L27" i="1"/>
  <c r="C25" i="1"/>
  <c r="B25" i="1"/>
  <c r="P13" i="1"/>
  <c r="O13" i="1"/>
  <c r="N13" i="1"/>
  <c r="M13" i="1"/>
  <c r="L13" i="1"/>
  <c r="D11" i="1"/>
  <c r="N70" i="1" s="1"/>
  <c r="C11" i="1"/>
  <c r="M70" i="1" s="1"/>
  <c r="B11" i="1"/>
  <c r="L70" i="1" s="1"/>
  <c r="Q10" i="1"/>
  <c r="P10" i="1"/>
  <c r="F62" i="1" s="1"/>
  <c r="O10" i="1"/>
  <c r="O73" i="1" s="1"/>
  <c r="N10" i="1"/>
  <c r="N73" i="1" s="1"/>
  <c r="M10" i="1"/>
  <c r="M73" i="1" s="1"/>
  <c r="L10" i="1"/>
  <c r="L73" i="1" s="1"/>
  <c r="G9" i="1"/>
  <c r="G16" i="1" s="1"/>
  <c r="F9" i="1"/>
  <c r="F16" i="1" s="1"/>
  <c r="E9" i="1"/>
  <c r="E16" i="1" s="1"/>
  <c r="Q6" i="1"/>
  <c r="Q11" i="1" s="1"/>
  <c r="P6" i="1"/>
  <c r="P58" i="1" s="1"/>
  <c r="P61" i="1" s="1"/>
  <c r="O6" i="1"/>
  <c r="O58" i="1" s="1"/>
  <c r="O61" i="1" s="1"/>
  <c r="N6" i="1"/>
  <c r="N58" i="1" s="1"/>
  <c r="N61" i="1" s="1"/>
  <c r="M6" i="1"/>
  <c r="M58" i="1" s="1"/>
  <c r="M61" i="1" s="1"/>
  <c r="L6" i="1"/>
  <c r="F6" i="1"/>
  <c r="E6" i="1"/>
  <c r="D6" i="1"/>
  <c r="C6" i="1"/>
  <c r="B6" i="1"/>
  <c r="L68" i="1" s="1"/>
  <c r="C7" i="1" l="1"/>
  <c r="D7" i="1"/>
  <c r="L58" i="1"/>
  <c r="L61" i="1" s="1"/>
  <c r="L11" i="1"/>
  <c r="G24" i="1"/>
  <c r="Q64" i="1"/>
  <c r="Q73" i="1"/>
  <c r="Q66" i="1"/>
  <c r="Q65" i="1"/>
  <c r="Q53" i="1"/>
  <c r="Q68" i="1"/>
  <c r="Q71" i="1" s="1"/>
  <c r="O66" i="1"/>
  <c r="O53" i="1"/>
  <c r="P66" i="1"/>
  <c r="F8" i="1"/>
  <c r="M11" i="1"/>
  <c r="M69" i="1"/>
  <c r="B9" i="1"/>
  <c r="B16" i="1" s="1"/>
  <c r="N11" i="1"/>
  <c r="O46" i="1"/>
  <c r="N69" i="1"/>
  <c r="P53" i="1"/>
  <c r="G62" i="1"/>
  <c r="C9" i="1"/>
  <c r="C16" i="1" s="1"/>
  <c r="M64" i="1" s="1"/>
  <c r="F64" i="1"/>
  <c r="P62" i="1" s="1"/>
  <c r="O11" i="1"/>
  <c r="P46" i="1"/>
  <c r="L64" i="1"/>
  <c r="B24" i="1"/>
  <c r="B27" i="1" s="1"/>
  <c r="B19" i="1"/>
  <c r="Q52" i="1"/>
  <c r="Q12" i="1" s="1"/>
  <c r="Q46" i="1"/>
  <c r="F19" i="1"/>
  <c r="G17" i="1"/>
  <c r="F17" i="1"/>
  <c r="F24" i="1"/>
  <c r="O64" i="1"/>
  <c r="E19" i="1"/>
  <c r="E24" i="1"/>
  <c r="Q58" i="1"/>
  <c r="Q61" i="1" s="1"/>
  <c r="M65" i="1"/>
  <c r="E7" i="1"/>
  <c r="D9" i="1"/>
  <c r="D16" i="1" s="1"/>
  <c r="L38" i="1"/>
  <c r="B62" i="1"/>
  <c r="B64" i="1" s="1"/>
  <c r="L62" i="1" s="1"/>
  <c r="P65" i="1"/>
  <c r="N68" i="1"/>
  <c r="N71" i="1" s="1"/>
  <c r="P73" i="1"/>
  <c r="M38" i="1"/>
  <c r="M53" i="1" s="1"/>
  <c r="C62" i="1"/>
  <c r="C64" i="1" s="1"/>
  <c r="G63" i="1"/>
  <c r="G64" i="1" s="1"/>
  <c r="O68" i="1"/>
  <c r="O71" i="1" s="1"/>
  <c r="N65" i="1"/>
  <c r="P11" i="1"/>
  <c r="P64" i="1" s="1"/>
  <c r="G7" i="1"/>
  <c r="G19" i="1"/>
  <c r="N38" i="1"/>
  <c r="N53" i="1" s="1"/>
  <c r="L52" i="1"/>
  <c r="L12" i="1" s="1"/>
  <c r="D62" i="1"/>
  <c r="D64" i="1" s="1"/>
  <c r="N62" i="1" s="1"/>
  <c r="L66" i="1"/>
  <c r="P68" i="1"/>
  <c r="P71" i="1" s="1"/>
  <c r="P72" i="1"/>
  <c r="F7" i="1"/>
  <c r="E62" i="1"/>
  <c r="E64" i="1" s="1"/>
  <c r="O62" i="1" s="1"/>
  <c r="M66" i="1"/>
  <c r="L65" i="1"/>
  <c r="N66" i="1"/>
  <c r="L69" i="1"/>
  <c r="L71" i="1" s="1"/>
  <c r="O65" i="1"/>
  <c r="M68" i="1"/>
  <c r="L53" i="1" l="1"/>
  <c r="L46" i="1"/>
  <c r="L72" i="1" s="1"/>
  <c r="Q72" i="1"/>
  <c r="T53" i="1"/>
  <c r="G27" i="1"/>
  <c r="G26" i="1"/>
  <c r="M12" i="1"/>
  <c r="C19" i="1"/>
  <c r="C24" i="1"/>
  <c r="N12" i="1"/>
  <c r="C17" i="1"/>
  <c r="B26" i="1"/>
  <c r="M71" i="1"/>
  <c r="M62" i="1"/>
  <c r="F18" i="1"/>
  <c r="M46" i="1"/>
  <c r="E27" i="1"/>
  <c r="E26" i="1"/>
  <c r="N46" i="1"/>
  <c r="O72" i="1" s="1"/>
  <c r="D24" i="1"/>
  <c r="D17" i="1"/>
  <c r="D19" i="1"/>
  <c r="N64" i="1"/>
  <c r="B30" i="1"/>
  <c r="B31" i="1" s="1"/>
  <c r="L63" i="1"/>
  <c r="F27" i="1"/>
  <c r="F26" i="1"/>
  <c r="E17" i="1"/>
  <c r="Q63" i="1" l="1"/>
  <c r="C27" i="1"/>
  <c r="C26" i="1"/>
  <c r="D26" i="1"/>
  <c r="D27" i="1"/>
  <c r="P63" i="1"/>
  <c r="F30" i="1"/>
  <c r="O63" i="1"/>
  <c r="E30" i="1"/>
  <c r="M72" i="1"/>
  <c r="N72" i="1"/>
  <c r="G31" i="1" l="1"/>
  <c r="C30" i="1"/>
  <c r="M63" i="1"/>
  <c r="N63" i="1"/>
  <c r="D30" i="1"/>
  <c r="G33" i="1" s="1"/>
  <c r="E33" i="1"/>
  <c r="E32" i="1"/>
  <c r="E31" i="1"/>
  <c r="G32" i="1"/>
  <c r="F32" i="1"/>
  <c r="F33" i="1"/>
  <c r="F31" i="1"/>
  <c r="C31" i="1" l="1"/>
  <c r="C32" i="1"/>
  <c r="D31" i="1"/>
  <c r="D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N13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======
ID#AAAAp25TSkU
Dell    (2023-02-13 06:57:16)
Tentative figure, will update once I get the final figure</t>
        </r>
      </text>
    </comment>
    <comment ref="O13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======
ID#AAAAp25TSkQ
Dell    (2023-02-13 06:57:16)
Tentative figure, will update once I get the final figure</t>
        </r>
      </text>
    </comment>
    <comment ref="P13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======
ID#AAAAp25TSkM
Dell    (2023-02-13 06:57:16)
Tentative figure, will update once I get the final figure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2Wre55698lML84LYfcEoLUfbuhw=="/>
    </ext>
  </extLst>
</comments>
</file>

<file path=xl/sharedStrings.xml><?xml version="1.0" encoding="utf-8"?>
<sst xmlns="http://schemas.openxmlformats.org/spreadsheetml/2006/main" count="149" uniqueCount="119">
  <si>
    <t>Sintercom India Ltd.</t>
  </si>
  <si>
    <t>Income Statement</t>
  </si>
  <si>
    <t>Balance Sheet</t>
  </si>
  <si>
    <t>Y/E, Mar (Rs. mn)</t>
  </si>
  <si>
    <t>2017-18</t>
  </si>
  <si>
    <t>2018-19</t>
  </si>
  <si>
    <t>2019-20</t>
  </si>
  <si>
    <t>2020-21</t>
  </si>
  <si>
    <t>FY22</t>
  </si>
  <si>
    <t>Operational Income</t>
  </si>
  <si>
    <t>Share Capital</t>
  </si>
  <si>
    <t>Other Income</t>
  </si>
  <si>
    <t>Reserves &amp; Surplus</t>
  </si>
  <si>
    <t>Net Income</t>
  </si>
  <si>
    <t>Networth/Shareholders Fund/ Book Value</t>
  </si>
  <si>
    <t>Growth (%)</t>
  </si>
  <si>
    <t>Non Controlling Interest</t>
  </si>
  <si>
    <t>CAGR (%) - 3 Years</t>
  </si>
  <si>
    <t>Long Term Debt</t>
  </si>
  <si>
    <t>Expenditure</t>
  </si>
  <si>
    <t>Short Term Debt</t>
  </si>
  <si>
    <t>Cost of materials consumed</t>
  </si>
  <si>
    <t>Loans</t>
  </si>
  <si>
    <t>Changes in inventories of finished goods, Stock-in-trade and
work-in-progress</t>
  </si>
  <si>
    <t>Capital Employed</t>
  </si>
  <si>
    <t xml:space="preserve">Excise Duty </t>
  </si>
  <si>
    <t>Other Manufacturing expenses</t>
  </si>
  <si>
    <t>Gross Block</t>
  </si>
  <si>
    <t>Employee benefits expense</t>
  </si>
  <si>
    <t>Other Expenses</t>
  </si>
  <si>
    <t>Property, Plant and Equipment</t>
  </si>
  <si>
    <t>Adjusted EBITDA</t>
  </si>
  <si>
    <t>Capital work-in-progress</t>
  </si>
  <si>
    <t>Goodwill</t>
  </si>
  <si>
    <t>Right of use assets</t>
  </si>
  <si>
    <t>Adjusted EBITDA margin (%)</t>
  </si>
  <si>
    <t>Other Intangible assets</t>
  </si>
  <si>
    <t>Depreciation</t>
  </si>
  <si>
    <t>Long term loans &amp; advances</t>
  </si>
  <si>
    <t>Finance costs</t>
  </si>
  <si>
    <t>Other non current assets</t>
  </si>
  <si>
    <t>Share of profit of associates</t>
  </si>
  <si>
    <t>Intangible asset under development</t>
  </si>
  <si>
    <t>Exceptional Items</t>
  </si>
  <si>
    <t>PBT</t>
  </si>
  <si>
    <t>Tax</t>
  </si>
  <si>
    <t>Effective tax rate (%)</t>
  </si>
  <si>
    <t>PAT</t>
  </si>
  <si>
    <t>CURRENT ASSETS, LOANS &amp; ADVANCES</t>
  </si>
  <si>
    <t>Minority Interest</t>
  </si>
  <si>
    <t>Inventories</t>
  </si>
  <si>
    <t>Other Comprehensive Income</t>
  </si>
  <si>
    <t>Sundry Debtors</t>
  </si>
  <si>
    <t>PAT After MI</t>
  </si>
  <si>
    <t>Cash &amp; Bank Balances</t>
  </si>
  <si>
    <t>PAT margin (%)</t>
  </si>
  <si>
    <t>Short-term loans and advances</t>
  </si>
  <si>
    <t>Other Current Assets</t>
  </si>
  <si>
    <t>EPS</t>
  </si>
  <si>
    <r>
      <rPr>
        <sz val="14"/>
        <color theme="1"/>
        <rFont val="Arial"/>
        <family val="2"/>
      </rPr>
      <t xml:space="preserve">CAGR (%) - </t>
    </r>
    <r>
      <rPr>
        <i/>
        <sz val="14"/>
        <color theme="1"/>
        <rFont val="Arial"/>
        <family val="2"/>
      </rPr>
      <t>3 Years</t>
    </r>
  </si>
  <si>
    <t>CURRENT LIABILITIES &amp; PROVISIONS</t>
  </si>
  <si>
    <t>Trade Payables</t>
  </si>
  <si>
    <t>Cash Flow</t>
  </si>
  <si>
    <t>Other Financial liabilities</t>
  </si>
  <si>
    <t>FY18</t>
  </si>
  <si>
    <t>FY19</t>
  </si>
  <si>
    <t>FY20</t>
  </si>
  <si>
    <t>FY21</t>
  </si>
  <si>
    <t>Other Current liabilities</t>
  </si>
  <si>
    <t>Cash and Cash Equivalents at Beginning of the year</t>
  </si>
  <si>
    <t>Lease Liabilities</t>
  </si>
  <si>
    <t>Cash Flow From Operating Activities</t>
  </si>
  <si>
    <t>Provisions</t>
  </si>
  <si>
    <t>Cash Flow from Investing Activities</t>
  </si>
  <si>
    <t>Current tax Liabilities (net)</t>
  </si>
  <si>
    <t>Cash Flow From Financing Activities</t>
  </si>
  <si>
    <t>Net Inc./(Dec.) in Cash and Cash Equivalent</t>
  </si>
  <si>
    <t>NET CURRENT ASSETS</t>
  </si>
  <si>
    <t>Cash and Cash Equivalents at End of the year</t>
  </si>
  <si>
    <t>Deferred Tax Liability</t>
  </si>
  <si>
    <t>Other financial liabilities</t>
  </si>
  <si>
    <t>Our Calculations</t>
  </si>
  <si>
    <t>Long term Provision</t>
  </si>
  <si>
    <t>TOTAL ASSETS</t>
  </si>
  <si>
    <t>TOTAL LIABILITIES</t>
  </si>
  <si>
    <t>Key ratios</t>
  </si>
  <si>
    <t xml:space="preserve">Operating Cash Inflow </t>
  </si>
  <si>
    <t xml:space="preserve">Y/E, Mar </t>
  </si>
  <si>
    <t>Capital Expenditure</t>
  </si>
  <si>
    <t>CMP(Rs) (31st March)</t>
  </si>
  <si>
    <t>FCF</t>
  </si>
  <si>
    <t>EPS (Rs)</t>
  </si>
  <si>
    <t xml:space="preserve"> </t>
  </si>
  <si>
    <t>BVPS (Rs)</t>
  </si>
  <si>
    <t>DPS (Rs)</t>
  </si>
  <si>
    <t>No. of Shares</t>
  </si>
  <si>
    <t>P/E (x)</t>
  </si>
  <si>
    <t>Market Cap</t>
  </si>
  <si>
    <t>P/BV (x)</t>
  </si>
  <si>
    <t>Total Debt</t>
  </si>
  <si>
    <t>EV/EBIDTA (x)</t>
  </si>
  <si>
    <t>Cash</t>
  </si>
  <si>
    <t>RoE (%)</t>
  </si>
  <si>
    <t>EV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</si>
  <si>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</si>
  <si>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</si>
  <si>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</si>
  <si>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</si>
  <si>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</si>
  <si>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</si>
  <si>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</si>
  <si>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</si>
  <si>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</si>
  <si>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</si>
  <si>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Net Asset Turnover ratio</t>
  </si>
  <si>
    <t>NA</t>
  </si>
  <si>
    <t xml:space="preserve">                 </t>
  </si>
  <si>
    <t>FY23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</si>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</sst>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 * #,##0.0_ ;_ * \-#,##0.0_ ;_ * &quot;-&quot;??_ ;_ @_ "/>
    <numFmt numFmtId="166" formatCode="_ * #,##0_ ;_ * \-#,##0_ ;_ * &quot;-&quot;??_ ;_ @_ "/>
    <numFmt numFmtId="167" formatCode="0.0%"/>
  </numFmts>
  <fonts count="2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11"/>
      <name val="Calibri"/>
      <family val="2"/>
    </font>
    <font>
      <b/>
      <u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sz val="11"/>
      <color theme="1"/>
      <name val="Calibri"/>
      <family val="2"/>
    </font>
    <font>
      <sz val="9"/>
      <color theme="1"/>
      <name val="Arial"/>
      <family val="2"/>
    </font>
    <font>
      <sz val="14"/>
      <color rgb="FFFF0000"/>
      <name val="Arial"/>
      <family val="2"/>
    </font>
    <font>
      <b/>
      <sz val="12"/>
      <color theme="1"/>
      <name val="Calibri"/>
      <family val="2"/>
    </font>
    <font>
      <b/>
      <sz val="12"/>
      <color rgb="FF4A4A4A"/>
      <name val="Roboto"/>
    </font>
    <font>
      <sz val="12"/>
      <color rgb="FFFF0000"/>
      <name val="Arial"/>
      <family val="2"/>
    </font>
    <font>
      <sz val="9"/>
      <color rgb="FFFF0000"/>
      <name val="Arial"/>
      <family val="2"/>
    </font>
    <font>
      <sz val="12"/>
      <color rgb="FF000000"/>
      <name val="Myfirstfont"/>
    </font>
  </fonts>
  <fills count="8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5" fillId="0" borderId="0" xfId="0" applyFont="1" applyAlignment="1">
      <alignment horizontal="left"/>
    </xf>
    <xf numFmtId="0" fontId="7" fillId="0" borderId="10" xfId="0" applyFont="1" applyBorder="1"/>
    <xf numFmtId="0" fontId="7" fillId="0" borderId="10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8" fillId="0" borderId="10" xfId="0" applyFont="1" applyBorder="1"/>
    <xf numFmtId="0" fontId="8" fillId="0" borderId="10" xfId="0" applyFont="1" applyBorder="1" applyAlignment="1">
      <alignment horizontal="right"/>
    </xf>
    <xf numFmtId="164" fontId="8" fillId="0" borderId="10" xfId="0" applyNumberFormat="1" applyFont="1" applyBorder="1" applyAlignment="1">
      <alignment horizontal="right"/>
    </xf>
    <xf numFmtId="0" fontId="8" fillId="0" borderId="10" xfId="0" applyFont="1" applyBorder="1" applyAlignment="1">
      <alignment horizontal="center"/>
    </xf>
    <xf numFmtId="165" fontId="7" fillId="0" borderId="10" xfId="0" applyNumberFormat="1" applyFont="1" applyBorder="1"/>
    <xf numFmtId="165" fontId="7" fillId="0" borderId="0" xfId="0" applyNumberFormat="1" applyFont="1"/>
    <xf numFmtId="0" fontId="9" fillId="0" borderId="10" xfId="0" applyFont="1" applyBorder="1"/>
    <xf numFmtId="165" fontId="9" fillId="0" borderId="10" xfId="0" applyNumberFormat="1" applyFont="1" applyBorder="1"/>
    <xf numFmtId="164" fontId="9" fillId="0" borderId="10" xfId="0" applyNumberFormat="1" applyFont="1" applyBorder="1"/>
    <xf numFmtId="0" fontId="10" fillId="0" borderId="10" xfId="0" applyFont="1" applyBorder="1"/>
    <xf numFmtId="165" fontId="10" fillId="0" borderId="10" xfId="0" applyNumberFormat="1" applyFont="1" applyBorder="1"/>
    <xf numFmtId="165" fontId="10" fillId="0" borderId="0" xfId="0" applyNumberFormat="1" applyFont="1"/>
    <xf numFmtId="0" fontId="7" fillId="3" borderId="10" xfId="0" applyFont="1" applyFill="1" applyBorder="1"/>
    <xf numFmtId="165" fontId="7" fillId="3" borderId="10" xfId="0" applyNumberFormat="1" applyFont="1" applyFill="1" applyBorder="1"/>
    <xf numFmtId="0" fontId="8" fillId="3" borderId="10" xfId="0" applyFont="1" applyFill="1" applyBorder="1"/>
    <xf numFmtId="165" fontId="8" fillId="3" borderId="10" xfId="0" applyNumberFormat="1" applyFont="1" applyFill="1" applyBorder="1"/>
    <xf numFmtId="0" fontId="11" fillId="3" borderId="10" xfId="0" applyFont="1" applyFill="1" applyBorder="1"/>
    <xf numFmtId="10" fontId="11" fillId="3" borderId="10" xfId="0" applyNumberFormat="1" applyFont="1" applyFill="1" applyBorder="1"/>
    <xf numFmtId="10" fontId="11" fillId="0" borderId="0" xfId="0" applyNumberFormat="1" applyFont="1"/>
    <xf numFmtId="0" fontId="12" fillId="0" borderId="10" xfId="0" applyFont="1" applyBorder="1"/>
    <xf numFmtId="165" fontId="7" fillId="0" borderId="11" xfId="0" applyNumberFormat="1" applyFont="1" applyBorder="1"/>
    <xf numFmtId="165" fontId="8" fillId="0" borderId="12" xfId="0" applyNumberFormat="1" applyFont="1" applyBorder="1"/>
    <xf numFmtId="10" fontId="12" fillId="0" borderId="0" xfId="0" applyNumberFormat="1" applyFont="1"/>
    <xf numFmtId="165" fontId="10" fillId="4" borderId="10" xfId="0" applyNumberFormat="1" applyFont="1" applyFill="1" applyBorder="1"/>
    <xf numFmtId="0" fontId="10" fillId="0" borderId="10" xfId="0" applyFont="1" applyBorder="1" applyAlignment="1">
      <alignment wrapText="1"/>
    </xf>
    <xf numFmtId="43" fontId="9" fillId="0" borderId="10" xfId="0" applyNumberFormat="1" applyFont="1" applyBorder="1"/>
    <xf numFmtId="10" fontId="7" fillId="3" borderId="10" xfId="0" applyNumberFormat="1" applyFont="1" applyFill="1" applyBorder="1"/>
    <xf numFmtId="10" fontId="7" fillId="0" borderId="0" xfId="0" applyNumberFormat="1" applyFont="1"/>
    <xf numFmtId="0" fontId="13" fillId="0" borderId="10" xfId="0" applyFont="1" applyBorder="1"/>
    <xf numFmtId="43" fontId="10" fillId="0" borderId="10" xfId="0" applyNumberFormat="1" applyFont="1" applyBorder="1"/>
    <xf numFmtId="43" fontId="10" fillId="0" borderId="0" xfId="0" applyNumberFormat="1" applyFont="1"/>
    <xf numFmtId="165" fontId="8" fillId="0" borderId="10" xfId="0" applyNumberFormat="1" applyFont="1" applyBorder="1"/>
    <xf numFmtId="164" fontId="8" fillId="0" borderId="10" xfId="0" applyNumberFormat="1" applyFont="1" applyBorder="1"/>
    <xf numFmtId="164" fontId="10" fillId="0" borderId="10" xfId="0" applyNumberFormat="1" applyFont="1" applyBorder="1"/>
    <xf numFmtId="164" fontId="10" fillId="0" borderId="0" xfId="0" applyNumberFormat="1" applyFont="1"/>
    <xf numFmtId="164" fontId="7" fillId="3" borderId="10" xfId="0" applyNumberFormat="1" applyFont="1" applyFill="1" applyBorder="1"/>
    <xf numFmtId="164" fontId="7" fillId="0" borderId="0" xfId="0" applyNumberFormat="1" applyFont="1"/>
    <xf numFmtId="43" fontId="7" fillId="0" borderId="10" xfId="0" applyNumberFormat="1" applyFont="1" applyBorder="1"/>
    <xf numFmtId="43" fontId="7" fillId="0" borderId="0" xfId="0" applyNumberFormat="1" applyFont="1"/>
    <xf numFmtId="43" fontId="8" fillId="0" borderId="10" xfId="0" applyNumberFormat="1" applyFont="1" applyBorder="1"/>
    <xf numFmtId="0" fontId="10" fillId="3" borderId="10" xfId="0" applyFont="1" applyFill="1" applyBorder="1"/>
    <xf numFmtId="10" fontId="10" fillId="3" borderId="10" xfId="0" applyNumberFormat="1" applyFont="1" applyFill="1" applyBorder="1"/>
    <xf numFmtId="10" fontId="10" fillId="0" borderId="0" xfId="0" applyNumberFormat="1" applyFont="1"/>
    <xf numFmtId="0" fontId="10" fillId="0" borderId="0" xfId="0" applyFont="1"/>
    <xf numFmtId="0" fontId="14" fillId="0" borderId="0" xfId="0" applyFont="1"/>
    <xf numFmtId="0" fontId="7" fillId="0" borderId="0" xfId="0" applyFont="1"/>
    <xf numFmtId="166" fontId="14" fillId="0" borderId="0" xfId="0" applyNumberFormat="1" applyFont="1"/>
    <xf numFmtId="0" fontId="7" fillId="0" borderId="10" xfId="0" applyFont="1" applyBorder="1" applyAlignment="1">
      <alignment horizontal="center"/>
    </xf>
    <xf numFmtId="0" fontId="14" fillId="0" borderId="10" xfId="0" applyFont="1" applyBorder="1"/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5" fillId="0" borderId="10" xfId="0" applyFont="1" applyBorder="1" applyAlignment="1">
      <alignment horizontal="right"/>
    </xf>
    <xf numFmtId="165" fontId="10" fillId="3" borderId="10" xfId="0" applyNumberFormat="1" applyFont="1" applyFill="1" applyBorder="1"/>
    <xf numFmtId="164" fontId="8" fillId="3" borderId="10" xfId="0" applyNumberFormat="1" applyFont="1" applyFill="1" applyBorder="1"/>
    <xf numFmtId="43" fontId="8" fillId="3" borderId="10" xfId="0" applyNumberFormat="1" applyFont="1" applyFill="1" applyBorder="1"/>
    <xf numFmtId="43" fontId="14" fillId="0" borderId="0" xfId="0" applyNumberFormat="1" applyFont="1"/>
    <xf numFmtId="164" fontId="9" fillId="3" borderId="10" xfId="0" applyNumberFormat="1" applyFont="1" applyFill="1" applyBorder="1"/>
    <xf numFmtId="43" fontId="9" fillId="3" borderId="10" xfId="0" applyNumberFormat="1" applyFont="1" applyFill="1" applyBorder="1"/>
    <xf numFmtId="166" fontId="10" fillId="0" borderId="10" xfId="0" applyNumberFormat="1" applyFont="1" applyBorder="1"/>
    <xf numFmtId="166" fontId="10" fillId="0" borderId="0" xfId="0" applyNumberFormat="1" applyFont="1"/>
    <xf numFmtId="0" fontId="10" fillId="4" borderId="10" xfId="0" applyFont="1" applyFill="1" applyBorder="1"/>
    <xf numFmtId="43" fontId="12" fillId="0" borderId="0" xfId="0" applyNumberFormat="1" applyFont="1"/>
    <xf numFmtId="167" fontId="8" fillId="0" borderId="10" xfId="0" applyNumberFormat="1" applyFont="1" applyBorder="1"/>
    <xf numFmtId="10" fontId="9" fillId="3" borderId="10" xfId="0" applyNumberFormat="1" applyFont="1" applyFill="1" applyBorder="1"/>
    <xf numFmtId="10" fontId="9" fillId="0" borderId="10" xfId="0" applyNumberFormat="1" applyFont="1" applyBorder="1"/>
    <xf numFmtId="0" fontId="9" fillId="0" borderId="0" xfId="0" applyFont="1"/>
    <xf numFmtId="0" fontId="17" fillId="0" borderId="0" xfId="0" applyFont="1"/>
    <xf numFmtId="2" fontId="9" fillId="0" borderId="10" xfId="0" applyNumberFormat="1" applyFont="1" applyBorder="1"/>
    <xf numFmtId="0" fontId="18" fillId="0" borderId="0" xfId="0" applyFont="1"/>
    <xf numFmtId="9" fontId="17" fillId="0" borderId="0" xfId="0" applyNumberFormat="1" applyFont="1"/>
    <xf numFmtId="1" fontId="18" fillId="0" borderId="0" xfId="0" applyNumberFormat="1" applyFont="1"/>
    <xf numFmtId="1" fontId="17" fillId="0" borderId="0" xfId="0" applyNumberFormat="1" applyFont="1"/>
    <xf numFmtId="1" fontId="9" fillId="3" borderId="10" xfId="0" applyNumberFormat="1" applyFont="1" applyFill="1" applyBorder="1"/>
    <xf numFmtId="1" fontId="9" fillId="0" borderId="10" xfId="0" applyNumberFormat="1" applyFont="1" applyBorder="1"/>
    <xf numFmtId="1" fontId="9" fillId="0" borderId="0" xfId="0" applyNumberFormat="1" applyFont="1"/>
    <xf numFmtId="10" fontId="9" fillId="0" borderId="0" xfId="0" applyNumberFormat="1" applyFont="1"/>
    <xf numFmtId="1" fontId="19" fillId="5" borderId="16" xfId="0" applyNumberFormat="1" applyFont="1" applyFill="1" applyBorder="1" applyAlignment="1">
      <alignment horizontal="right" wrapText="1"/>
    </xf>
    <xf numFmtId="166" fontId="9" fillId="3" borderId="10" xfId="0" applyNumberFormat="1" applyFont="1" applyFill="1" applyBorder="1"/>
    <xf numFmtId="0" fontId="1" fillId="0" borderId="0" xfId="0" applyFont="1"/>
    <xf numFmtId="43" fontId="0" fillId="0" borderId="0" xfId="0" applyNumberFormat="1"/>
    <xf numFmtId="164" fontId="7" fillId="6" borderId="10" xfId="0" applyNumberFormat="1" applyFont="1" applyFill="1" applyBorder="1"/>
    <xf numFmtId="10" fontId="7" fillId="6" borderId="10" xfId="0" applyNumberFormat="1" applyFont="1" applyFill="1" applyBorder="1"/>
    <xf numFmtId="10" fontId="11" fillId="6" borderId="10" xfId="0" applyNumberFormat="1" applyFont="1" applyFill="1" applyBorder="1"/>
    <xf numFmtId="165" fontId="7" fillId="6" borderId="10" xfId="0" applyNumberFormat="1" applyFont="1" applyFill="1" applyBorder="1"/>
    <xf numFmtId="165" fontId="10" fillId="6" borderId="10" xfId="0" applyNumberFormat="1" applyFont="1" applyFill="1" applyBorder="1"/>
    <xf numFmtId="10" fontId="11" fillId="6" borderId="10" xfId="0" applyNumberFormat="1" applyFont="1" applyFill="1" applyBorder="1" applyAlignment="1">
      <alignment horizontal="right"/>
    </xf>
    <xf numFmtId="10" fontId="10" fillId="6" borderId="10" xfId="0" applyNumberFormat="1" applyFont="1" applyFill="1" applyBorder="1" applyAlignment="1">
      <alignment horizontal="right"/>
    </xf>
    <xf numFmtId="3" fontId="16" fillId="0" borderId="10" xfId="0" applyNumberFormat="1" applyFont="1" applyBorder="1"/>
    <xf numFmtId="165" fontId="8" fillId="6" borderId="10" xfId="0" applyNumberFormat="1" applyFont="1" applyFill="1" applyBorder="1"/>
    <xf numFmtId="1" fontId="9" fillId="6" borderId="10" xfId="0" applyNumberFormat="1" applyFont="1" applyFill="1" applyBorder="1"/>
    <xf numFmtId="10" fontId="9" fillId="6" borderId="10" xfId="0" applyNumberFormat="1" applyFont="1" applyFill="1" applyBorder="1"/>
    <xf numFmtId="166" fontId="9" fillId="6" borderId="10" xfId="0" applyNumberFormat="1" applyFont="1" applyFill="1" applyBorder="1"/>
    <xf numFmtId="43" fontId="9" fillId="3" borderId="10" xfId="0" applyNumberFormat="1" applyFont="1" applyFill="1" applyBorder="1" applyAlignment="1">
      <alignment horizontal="center"/>
    </xf>
    <xf numFmtId="10" fontId="9" fillId="7" borderId="10" xfId="0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left"/>
    </xf>
    <xf numFmtId="0" fontId="3" fillId="0" borderId="5" xfId="0" applyFont="1" applyBorder="1"/>
    <xf numFmtId="0" fontId="3" fillId="0" borderId="6" xfId="0" applyFont="1" applyBorder="1"/>
    <xf numFmtId="0" fontId="6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10" fillId="0" borderId="12" xfId="0" applyFont="1" applyBorder="1" applyAlignment="1">
      <alignment horizontal="center" wrapText="1"/>
    </xf>
    <xf numFmtId="0" fontId="0" fillId="0" borderId="0" xfId="0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0"/>
  <sheetViews>
    <sheetView tabSelected="1" zoomScale="55" zoomScaleNormal="55" workbookViewId="0">
      <selection activeCell="S14" sqref="S14"/>
    </sheetView>
  </sheetViews>
  <sheetFormatPr defaultColWidth="14.42578125" defaultRowHeight="15" customHeight="1"/>
  <cols>
    <col min="1" max="1" width="67.28515625" customWidth="1"/>
    <col min="2" max="2" width="18.5703125" customWidth="1"/>
    <col min="3" max="4" width="20.85546875" customWidth="1"/>
    <col min="5" max="7" width="20.42578125" customWidth="1"/>
    <col min="8" max="8" width="8.85546875" customWidth="1"/>
    <col min="9" max="9" width="8.85546875" hidden="1" customWidth="1"/>
    <col min="10" max="10" width="46.85546875" customWidth="1"/>
    <col min="11" max="11" width="8.85546875" customWidth="1"/>
    <col min="12" max="12" width="13" customWidth="1"/>
    <col min="13" max="13" width="12.42578125" customWidth="1"/>
    <col min="14" max="14" width="12.140625" customWidth="1"/>
    <col min="15" max="17" width="13" customWidth="1"/>
    <col min="18" max="26" width="8.85546875" customWidth="1"/>
  </cols>
  <sheetData>
    <row r="1" spans="1:17" ht="15.75">
      <c r="A1" s="99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1"/>
    </row>
    <row r="2" spans="1:17" ht="15.75">
      <c r="A2" s="102" t="s">
        <v>1</v>
      </c>
      <c r="B2" s="103"/>
      <c r="C2" s="103"/>
      <c r="D2" s="104"/>
      <c r="E2" s="1"/>
      <c r="F2" s="1"/>
      <c r="G2" s="1"/>
      <c r="H2" s="1"/>
      <c r="J2" s="105" t="s">
        <v>2</v>
      </c>
      <c r="K2" s="106"/>
      <c r="L2" s="106"/>
      <c r="M2" s="106"/>
      <c r="N2" s="106"/>
      <c r="O2" s="106"/>
      <c r="P2" s="106"/>
      <c r="Q2" s="107"/>
    </row>
    <row r="3" spans="1:17" ht="15" customHeigh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117</v>
      </c>
      <c r="H3" s="4"/>
      <c r="J3" s="5" t="s">
        <v>3</v>
      </c>
      <c r="K3" s="6"/>
      <c r="L3" s="7" t="s">
        <v>4</v>
      </c>
      <c r="M3" s="6" t="s">
        <v>5</v>
      </c>
      <c r="N3" s="6" t="s">
        <v>6</v>
      </c>
      <c r="O3" s="8" t="s">
        <v>7</v>
      </c>
      <c r="P3" s="8" t="s">
        <v>8</v>
      </c>
      <c r="Q3" s="8" t="s">
        <v>117</v>
      </c>
    </row>
    <row r="4" spans="1:17" ht="15" customHeight="1">
      <c r="A4" s="2" t="s">
        <v>9</v>
      </c>
      <c r="B4" s="9">
        <v>764.82071199999996</v>
      </c>
      <c r="C4" s="9">
        <v>827.37260000000003</v>
      </c>
      <c r="D4" s="9">
        <v>535.23249899999996</v>
      </c>
      <c r="E4" s="9">
        <v>471.98669699999999</v>
      </c>
      <c r="F4" s="9">
        <v>599</v>
      </c>
      <c r="G4" s="9">
        <v>822.1</v>
      </c>
      <c r="H4" s="10"/>
      <c r="J4" s="11" t="s">
        <v>10</v>
      </c>
      <c r="K4" s="12"/>
      <c r="L4" s="12">
        <v>242.02822</v>
      </c>
      <c r="M4" s="12">
        <v>242.02822</v>
      </c>
      <c r="N4" s="13">
        <v>242.02822</v>
      </c>
      <c r="O4" s="13">
        <v>255.52822</v>
      </c>
      <c r="P4" s="13">
        <v>265</v>
      </c>
      <c r="Q4" s="13">
        <v>275.27800000000002</v>
      </c>
    </row>
    <row r="5" spans="1:17" ht="15" customHeight="1">
      <c r="A5" s="14" t="s">
        <v>11</v>
      </c>
      <c r="B5" s="15">
        <v>3.0885250000000002</v>
      </c>
      <c r="C5" s="15">
        <v>4.6369290000000003</v>
      </c>
      <c r="D5" s="15">
        <v>0.909694</v>
      </c>
      <c r="E5" s="15">
        <v>4.7591979999999996</v>
      </c>
      <c r="F5" s="15">
        <v>2</v>
      </c>
      <c r="G5" s="15">
        <v>0.8</v>
      </c>
      <c r="H5" s="16"/>
      <c r="J5" s="11" t="s">
        <v>12</v>
      </c>
      <c r="K5" s="12"/>
      <c r="L5" s="12">
        <v>619.33884499999999</v>
      </c>
      <c r="M5" s="12">
        <v>648.32964200000004</v>
      </c>
      <c r="N5" s="13">
        <v>619.82667200000003</v>
      </c>
      <c r="O5" s="13">
        <v>781.69481299999995</v>
      </c>
      <c r="P5" s="13">
        <v>731</v>
      </c>
      <c r="Q5" s="13">
        <v>721.3</v>
      </c>
    </row>
    <row r="6" spans="1:17" ht="15" customHeight="1">
      <c r="A6" s="17" t="s">
        <v>13</v>
      </c>
      <c r="B6" s="18">
        <f t="shared" ref="B6:F6" si="0">B4+B5</f>
        <v>767.90923699999996</v>
      </c>
      <c r="C6" s="18">
        <f t="shared" si="0"/>
        <v>832.00952900000004</v>
      </c>
      <c r="D6" s="18">
        <f t="shared" si="0"/>
        <v>536.14219299999991</v>
      </c>
      <c r="E6" s="18">
        <f t="shared" si="0"/>
        <v>476.74589500000002</v>
      </c>
      <c r="F6" s="18">
        <f t="shared" si="0"/>
        <v>601</v>
      </c>
      <c r="G6" s="88">
        <f>G4+G5</f>
        <v>822.9</v>
      </c>
      <c r="H6" s="10"/>
      <c r="J6" s="19" t="s">
        <v>14</v>
      </c>
      <c r="K6" s="20"/>
      <c r="L6" s="20">
        <f t="shared" ref="L6:Q6" si="1">(L4+L5)</f>
        <v>861.36706500000003</v>
      </c>
      <c r="M6" s="20">
        <f t="shared" si="1"/>
        <v>890.35786200000007</v>
      </c>
      <c r="N6" s="20">
        <f t="shared" si="1"/>
        <v>861.85489200000006</v>
      </c>
      <c r="O6" s="20">
        <f t="shared" si="1"/>
        <v>1037.223033</v>
      </c>
      <c r="P6" s="20">
        <f t="shared" si="1"/>
        <v>996</v>
      </c>
      <c r="Q6" s="93">
        <f t="shared" si="1"/>
        <v>996.57799999999997</v>
      </c>
    </row>
    <row r="7" spans="1:17" ht="15" customHeight="1">
      <c r="A7" s="21" t="s">
        <v>15</v>
      </c>
      <c r="B7" s="22"/>
      <c r="C7" s="22">
        <f t="shared" ref="C7:G7" si="2">C6/B6-1</f>
        <v>8.3473786889739054E-2</v>
      </c>
      <c r="D7" s="22">
        <f t="shared" si="2"/>
        <v>-0.35560570604955188</v>
      </c>
      <c r="E7" s="22">
        <f t="shared" si="2"/>
        <v>-0.11078459926394912</v>
      </c>
      <c r="F7" s="22">
        <f t="shared" si="2"/>
        <v>0.26062962744545493</v>
      </c>
      <c r="G7" s="87">
        <f t="shared" si="2"/>
        <v>0.36921797004991674</v>
      </c>
      <c r="H7" s="23"/>
      <c r="J7" s="11" t="s">
        <v>16</v>
      </c>
      <c r="K7" s="12"/>
      <c r="L7" s="12"/>
      <c r="M7" s="12">
        <v>0</v>
      </c>
      <c r="N7" s="12">
        <v>0</v>
      </c>
      <c r="O7" s="13"/>
      <c r="P7" s="13"/>
      <c r="Q7" s="24"/>
    </row>
    <row r="8" spans="1:17" ht="15" customHeight="1">
      <c r="A8" s="21" t="s">
        <v>17</v>
      </c>
      <c r="B8" s="22"/>
      <c r="C8" s="22"/>
      <c r="D8" s="22"/>
      <c r="E8" s="22">
        <f t="shared" ref="E8:F8" si="3">((E6/B6)^1/3)-1</f>
        <v>-0.79305458161413767</v>
      </c>
      <c r="F8" s="22">
        <f t="shared" si="3"/>
        <v>-0.75921750130179899</v>
      </c>
      <c r="G8" s="87">
        <v>0.1535</v>
      </c>
      <c r="H8" s="23"/>
      <c r="J8" s="11" t="s">
        <v>18</v>
      </c>
      <c r="K8" s="12"/>
      <c r="L8" s="12">
        <v>103.296526</v>
      </c>
      <c r="M8" s="12">
        <v>81.468476999999993</v>
      </c>
      <c r="N8" s="13">
        <v>119.08895200000001</v>
      </c>
      <c r="O8" s="13">
        <v>73</v>
      </c>
      <c r="P8" s="13">
        <v>63</v>
      </c>
      <c r="Q8" s="13">
        <v>120.53</v>
      </c>
    </row>
    <row r="9" spans="1:17" ht="15" customHeight="1">
      <c r="A9" s="17" t="s">
        <v>19</v>
      </c>
      <c r="B9" s="18">
        <f t="shared" ref="B9:E9" si="4">SUM(B10:B15)</f>
        <v>598.15754800000002</v>
      </c>
      <c r="C9" s="18">
        <f t="shared" si="4"/>
        <v>646.22676200000001</v>
      </c>
      <c r="D9" s="18">
        <f t="shared" si="4"/>
        <v>464.60119099999997</v>
      </c>
      <c r="E9" s="18">
        <f t="shared" si="4"/>
        <v>437.710486</v>
      </c>
      <c r="F9" s="18">
        <f t="shared" ref="F9:G9" si="5">F10+F11+F13+F14+F15</f>
        <v>546</v>
      </c>
      <c r="G9" s="88">
        <f t="shared" si="5"/>
        <v>708.79000000000008</v>
      </c>
      <c r="H9" s="25"/>
      <c r="I9" s="26"/>
      <c r="J9" s="11" t="s">
        <v>20</v>
      </c>
      <c r="K9" s="12"/>
      <c r="L9" s="12">
        <v>184.09466800000001</v>
      </c>
      <c r="M9" s="12">
        <v>158.869665</v>
      </c>
      <c r="N9" s="13">
        <v>120.519555</v>
      </c>
      <c r="O9" s="13">
        <v>143</v>
      </c>
      <c r="P9" s="13">
        <v>182</v>
      </c>
      <c r="Q9" s="13">
        <v>159.68</v>
      </c>
    </row>
    <row r="10" spans="1:17" ht="15" customHeight="1">
      <c r="A10" s="14" t="s">
        <v>21</v>
      </c>
      <c r="B10" s="15">
        <v>205.54833500000001</v>
      </c>
      <c r="C10" s="15">
        <v>276.93664200000001</v>
      </c>
      <c r="D10" s="15">
        <v>170.446155</v>
      </c>
      <c r="E10" s="15">
        <v>190.662463</v>
      </c>
      <c r="F10" s="15">
        <v>258</v>
      </c>
      <c r="G10" s="15">
        <v>364.92</v>
      </c>
      <c r="H10" s="16"/>
      <c r="I10" s="27"/>
      <c r="J10" s="19" t="s">
        <v>22</v>
      </c>
      <c r="K10" s="20"/>
      <c r="L10" s="20">
        <f t="shared" ref="L10:Q10" si="6">(L8+L9)</f>
        <v>287.39119400000004</v>
      </c>
      <c r="M10" s="20">
        <f t="shared" si="6"/>
        <v>240.338142</v>
      </c>
      <c r="N10" s="20">
        <f t="shared" si="6"/>
        <v>239.608507</v>
      </c>
      <c r="O10" s="20">
        <f t="shared" si="6"/>
        <v>216</v>
      </c>
      <c r="P10" s="20">
        <f t="shared" si="6"/>
        <v>245</v>
      </c>
      <c r="Q10" s="93">
        <f t="shared" si="6"/>
        <v>280.21000000000004</v>
      </c>
    </row>
    <row r="11" spans="1:17" ht="15" customHeight="1">
      <c r="A11" s="14" t="s">
        <v>23</v>
      </c>
      <c r="B11" s="15">
        <f>5.962973+2.389296</f>
        <v>8.3522689999999997</v>
      </c>
      <c r="C11" s="15">
        <f>-33.828991+-7.93805</f>
        <v>-41.767040999999999</v>
      </c>
      <c r="D11" s="28">
        <f>-6.952658+6.761218</f>
        <v>-0.19143999999999917</v>
      </c>
      <c r="E11" s="15">
        <v>-13.976092</v>
      </c>
      <c r="F11" s="15">
        <v>-49</v>
      </c>
      <c r="G11" s="15">
        <v>-91.04</v>
      </c>
      <c r="H11" s="16"/>
      <c r="I11" s="27"/>
      <c r="J11" s="19" t="s">
        <v>24</v>
      </c>
      <c r="K11" s="20"/>
      <c r="L11" s="20">
        <f t="shared" ref="L11:Q11" si="7">(L6+L8+L7+SUM(L47:L50))</f>
        <v>996.44832999999994</v>
      </c>
      <c r="M11" s="20">
        <f t="shared" si="7"/>
        <v>1038.7432350000001</v>
      </c>
      <c r="N11" s="20">
        <f t="shared" si="7"/>
        <v>1054.1583620000001</v>
      </c>
      <c r="O11" s="20">
        <f t="shared" si="7"/>
        <v>1155.415788</v>
      </c>
      <c r="P11" s="20">
        <f t="shared" si="7"/>
        <v>1096</v>
      </c>
      <c r="Q11" s="20">
        <f t="shared" si="7"/>
        <v>1158.213</v>
      </c>
    </row>
    <row r="12" spans="1:17" ht="15" customHeight="1">
      <c r="A12" s="29" t="s">
        <v>25</v>
      </c>
      <c r="B12" s="15">
        <v>21.887460000000001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6"/>
      <c r="I12" s="27"/>
      <c r="J12" s="19" t="s">
        <v>24</v>
      </c>
      <c r="K12" s="20"/>
      <c r="L12" s="20">
        <f t="shared" ref="L12:Q12" si="8">L52-L38-L9</f>
        <v>996.44832999999994</v>
      </c>
      <c r="M12" s="20">
        <f t="shared" si="8"/>
        <v>1038.7432339999998</v>
      </c>
      <c r="N12" s="20">
        <f t="shared" si="8"/>
        <v>1054.1198809999999</v>
      </c>
      <c r="O12" s="20">
        <f t="shared" si="8"/>
        <v>1155.049027</v>
      </c>
      <c r="P12" s="20">
        <f t="shared" si="8"/>
        <v>1096</v>
      </c>
      <c r="Q12" s="20">
        <f t="shared" si="8"/>
        <v>1158.2370000000001</v>
      </c>
    </row>
    <row r="13" spans="1:17" ht="15" customHeight="1">
      <c r="A13" s="14" t="s">
        <v>26</v>
      </c>
      <c r="B13" s="15">
        <v>135.782826</v>
      </c>
      <c r="C13" s="15">
        <v>169.770501</v>
      </c>
      <c r="D13" s="15">
        <v>110.29093899999999</v>
      </c>
      <c r="E13" s="15">
        <v>102.065338</v>
      </c>
      <c r="F13" s="15">
        <v>137</v>
      </c>
      <c r="G13" s="15">
        <v>246.83</v>
      </c>
      <c r="H13" s="16"/>
      <c r="I13" s="27"/>
      <c r="J13" s="11" t="s">
        <v>27</v>
      </c>
      <c r="K13" s="12"/>
      <c r="L13" s="12">
        <f t="shared" ref="L13:P13" si="9">SUM(L15:L22)</f>
        <v>825.29590600000006</v>
      </c>
      <c r="M13" s="12">
        <f t="shared" si="9"/>
        <v>1012.1188249999999</v>
      </c>
      <c r="N13" s="12">
        <f t="shared" si="9"/>
        <v>1032.8250130000001</v>
      </c>
      <c r="O13" s="12">
        <f t="shared" si="9"/>
        <v>973.56102499999997</v>
      </c>
      <c r="P13" s="12">
        <f t="shared" si="9"/>
        <v>963</v>
      </c>
      <c r="Q13" s="12">
        <f>SUM(Q15:Q22)</f>
        <v>991.73500000000013</v>
      </c>
    </row>
    <row r="14" spans="1:17" ht="15" customHeight="1">
      <c r="A14" s="14" t="s">
        <v>28</v>
      </c>
      <c r="B14" s="15">
        <v>64.198946000000007</v>
      </c>
      <c r="C14" s="15">
        <v>68.375371000000001</v>
      </c>
      <c r="D14" s="15">
        <v>61.814104</v>
      </c>
      <c r="E14" s="15">
        <v>61.241630999999998</v>
      </c>
      <c r="F14" s="15">
        <v>75</v>
      </c>
      <c r="G14" s="15">
        <v>92.36</v>
      </c>
      <c r="H14" s="16"/>
      <c r="I14" s="27"/>
      <c r="J14" s="11"/>
      <c r="K14" s="12"/>
      <c r="L14" s="12"/>
      <c r="M14" s="12"/>
      <c r="N14" s="11"/>
      <c r="O14" s="11"/>
      <c r="P14" s="11"/>
      <c r="Q14" s="24"/>
    </row>
    <row r="15" spans="1:17" ht="15" customHeight="1">
      <c r="A15" s="14" t="s">
        <v>29</v>
      </c>
      <c r="B15" s="15">
        <v>162.38771199999999</v>
      </c>
      <c r="C15" s="15">
        <v>172.91128900000001</v>
      </c>
      <c r="D15" s="15">
        <v>122.241433</v>
      </c>
      <c r="E15" s="15">
        <v>97.717146</v>
      </c>
      <c r="F15" s="15">
        <v>125</v>
      </c>
      <c r="G15" s="15">
        <v>95.72</v>
      </c>
      <c r="H15" s="16"/>
      <c r="I15" s="27"/>
      <c r="J15" s="11" t="s">
        <v>30</v>
      </c>
      <c r="K15" s="12"/>
      <c r="L15" s="12">
        <v>661.91027399999996</v>
      </c>
      <c r="M15" s="12">
        <v>836.07742299999995</v>
      </c>
      <c r="N15" s="13">
        <v>797.943352</v>
      </c>
      <c r="O15" s="13">
        <v>740.36647200000004</v>
      </c>
      <c r="P15" s="13">
        <v>729</v>
      </c>
      <c r="Q15" s="13">
        <v>703.57</v>
      </c>
    </row>
    <row r="16" spans="1:17" ht="15" customHeight="1">
      <c r="A16" s="17" t="s">
        <v>31</v>
      </c>
      <c r="B16" s="18">
        <f t="shared" ref="B16:E16" si="10">(B4-B9)</f>
        <v>166.66316399999994</v>
      </c>
      <c r="C16" s="18">
        <f t="shared" si="10"/>
        <v>181.14583800000003</v>
      </c>
      <c r="D16" s="18">
        <f t="shared" si="10"/>
        <v>70.63130799999999</v>
      </c>
      <c r="E16" s="18">
        <f t="shared" si="10"/>
        <v>34.276210999999989</v>
      </c>
      <c r="F16" s="18">
        <f t="shared" ref="F16:G16" si="11">F4-F9</f>
        <v>53</v>
      </c>
      <c r="G16" s="88">
        <f t="shared" si="11"/>
        <v>113.30999999999995</v>
      </c>
      <c r="H16" s="10"/>
      <c r="J16" s="11" t="s">
        <v>32</v>
      </c>
      <c r="K16" s="12"/>
      <c r="L16" s="12">
        <v>1.107518</v>
      </c>
      <c r="M16" s="12">
        <v>22.766708999999999</v>
      </c>
      <c r="N16" s="13">
        <v>0.59450000000000003</v>
      </c>
      <c r="O16" s="13">
        <v>1.00095</v>
      </c>
      <c r="P16" s="13">
        <v>9</v>
      </c>
      <c r="Q16" s="13">
        <v>80.64</v>
      </c>
    </row>
    <row r="17" spans="1:17" ht="15" customHeight="1">
      <c r="A17" s="21" t="s">
        <v>15</v>
      </c>
      <c r="B17" s="22"/>
      <c r="C17" s="22">
        <f t="shared" ref="C17:E17" si="12">(C16/B16-1)</f>
        <v>8.6897870245641551E-2</v>
      </c>
      <c r="D17" s="22">
        <f t="shared" si="12"/>
        <v>-0.61008594633016089</v>
      </c>
      <c r="E17" s="22">
        <f t="shared" si="12"/>
        <v>-0.51471646256359871</v>
      </c>
      <c r="F17" s="22">
        <f t="shared" ref="F17:G17" si="13">F16/E16-1</f>
        <v>0.54626192492513304</v>
      </c>
      <c r="G17" s="87">
        <f t="shared" si="13"/>
        <v>1.1379245283018857</v>
      </c>
      <c r="H17" s="23"/>
      <c r="J17" s="11" t="s">
        <v>33</v>
      </c>
      <c r="K17" s="12"/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13">
        <v>0</v>
      </c>
    </row>
    <row r="18" spans="1:17" ht="15" customHeight="1">
      <c r="A18" s="21" t="s">
        <v>17</v>
      </c>
      <c r="B18" s="22"/>
      <c r="C18" s="22"/>
      <c r="D18" s="22"/>
      <c r="E18" s="22">
        <f>((E16/B16)^1/3)-1</f>
        <v>-0.93144613727202086</v>
      </c>
      <c r="F18" s="22">
        <f t="shared" ref="F18" si="14">((F16/C16)^1/3)-1</f>
        <v>-0.9024726879639009</v>
      </c>
      <c r="G18" s="87">
        <v>0.17069999999999999</v>
      </c>
      <c r="H18" s="23"/>
      <c r="J18" s="11" t="s">
        <v>34</v>
      </c>
      <c r="K18" s="12"/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13">
        <v>0</v>
      </c>
    </row>
    <row r="19" spans="1:17" ht="15" customHeight="1">
      <c r="A19" s="17" t="s">
        <v>35</v>
      </c>
      <c r="B19" s="31">
        <f t="shared" ref="B19:E19" si="15">(B16/B4)</f>
        <v>0.21791141555800328</v>
      </c>
      <c r="C19" s="31">
        <f t="shared" si="15"/>
        <v>0.21894106476332431</v>
      </c>
      <c r="D19" s="31">
        <f t="shared" si="15"/>
        <v>0.1319637879462921</v>
      </c>
      <c r="E19" s="31">
        <f t="shared" si="15"/>
        <v>7.2621137879231357E-2</v>
      </c>
      <c r="F19" s="31">
        <f t="shared" ref="F19:G19" si="16">F16/F4</f>
        <v>8.8480801335559259E-2</v>
      </c>
      <c r="G19" s="86">
        <f t="shared" si="16"/>
        <v>0.13782994769492754</v>
      </c>
      <c r="H19" s="32"/>
      <c r="J19" s="11" t="s">
        <v>36</v>
      </c>
      <c r="K19" s="12"/>
      <c r="L19" s="12">
        <v>97.746825000000001</v>
      </c>
      <c r="M19" s="12">
        <v>88.627159000000006</v>
      </c>
      <c r="N19" s="13">
        <v>125.430361</v>
      </c>
      <c r="O19" s="13">
        <v>129.894589</v>
      </c>
      <c r="P19" s="13">
        <v>161</v>
      </c>
      <c r="Q19" s="13">
        <v>142.83000000000001</v>
      </c>
    </row>
    <row r="20" spans="1:17" ht="15" customHeight="1">
      <c r="A20" s="14" t="s">
        <v>37</v>
      </c>
      <c r="B20" s="15">
        <v>60.214855</v>
      </c>
      <c r="C20" s="15">
        <v>70.016408999999996</v>
      </c>
      <c r="D20" s="15">
        <v>68.097746000000001</v>
      </c>
      <c r="E20" s="15">
        <v>62.300254000000002</v>
      </c>
      <c r="F20" s="15">
        <v>71</v>
      </c>
      <c r="G20" s="15">
        <v>78.88</v>
      </c>
      <c r="H20" s="16"/>
      <c r="J20" s="11" t="s">
        <v>38</v>
      </c>
      <c r="K20" s="12"/>
      <c r="L20" s="12">
        <v>7.3976329999999999</v>
      </c>
      <c r="M20" s="12">
        <v>8.2501879999999996</v>
      </c>
      <c r="N20" s="13">
        <v>4.7501879999999996</v>
      </c>
      <c r="O20" s="13">
        <v>4.7922549999999999</v>
      </c>
      <c r="P20" s="13">
        <v>5</v>
      </c>
      <c r="Q20" s="13">
        <v>4.6950000000000003</v>
      </c>
    </row>
    <row r="21" spans="1:17" ht="15" customHeight="1">
      <c r="A21" s="14" t="s">
        <v>39</v>
      </c>
      <c r="B21" s="15">
        <v>43.585808</v>
      </c>
      <c r="C21" s="15">
        <v>39.378216999999999</v>
      </c>
      <c r="D21" s="15">
        <v>37.792195</v>
      </c>
      <c r="E21" s="15">
        <v>38.658588999999999</v>
      </c>
      <c r="F21" s="15">
        <v>29</v>
      </c>
      <c r="G21" s="15">
        <v>32.700000000000003</v>
      </c>
      <c r="H21" s="16"/>
      <c r="J21" s="11" t="s">
        <v>40</v>
      </c>
      <c r="K21" s="12"/>
      <c r="L21" s="12">
        <v>57.133656000000002</v>
      </c>
      <c r="M21" s="12">
        <v>56.397345999999999</v>
      </c>
      <c r="N21" s="13">
        <v>64.599852999999996</v>
      </c>
      <c r="O21" s="13">
        <v>58</v>
      </c>
      <c r="P21" s="13">
        <v>59</v>
      </c>
      <c r="Q21" s="13">
        <v>58.2</v>
      </c>
    </row>
    <row r="22" spans="1:17" ht="15.75" customHeight="1">
      <c r="A22" s="14" t="s">
        <v>41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6"/>
      <c r="J22" s="11" t="s">
        <v>42</v>
      </c>
      <c r="K22" s="12"/>
      <c r="L22" s="12"/>
      <c r="M22" s="12"/>
      <c r="N22" s="13">
        <v>39.506759000000002</v>
      </c>
      <c r="O22" s="13">
        <v>39.506759000000002</v>
      </c>
      <c r="P22" s="13">
        <v>0</v>
      </c>
      <c r="Q22" s="13">
        <v>1.8</v>
      </c>
    </row>
    <row r="23" spans="1:17" ht="15" customHeight="1">
      <c r="A23" s="14" t="s">
        <v>43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6"/>
      <c r="J23" s="11"/>
      <c r="K23" s="12"/>
      <c r="L23" s="12"/>
      <c r="M23" s="12"/>
      <c r="N23" s="13"/>
      <c r="O23" s="13"/>
      <c r="P23" s="13"/>
      <c r="Q23" s="24"/>
    </row>
    <row r="24" spans="1:17" ht="15" customHeight="1">
      <c r="A24" s="17" t="s">
        <v>44</v>
      </c>
      <c r="B24" s="18">
        <f t="shared" ref="B24:C24" si="17">(B16-B20-B21+B22)+B5</f>
        <v>65.951025999999942</v>
      </c>
      <c r="C24" s="18">
        <f t="shared" si="17"/>
        <v>76.388141000000033</v>
      </c>
      <c r="D24" s="18">
        <f t="shared" ref="D24:E24" si="18">(D16-D20-D21+D22)+D5+D23</f>
        <v>-34.348939000000009</v>
      </c>
      <c r="E24" s="18">
        <f t="shared" si="18"/>
        <v>-61.923434000000015</v>
      </c>
      <c r="F24" s="18">
        <f>F16-F21-F20+F5</f>
        <v>-45</v>
      </c>
      <c r="G24" s="88">
        <f>G16-G21-G20+G5</f>
        <v>2.529999999999947</v>
      </c>
      <c r="H24" s="10"/>
      <c r="J24" s="11"/>
      <c r="K24" s="12"/>
      <c r="L24" s="12"/>
      <c r="M24" s="12"/>
      <c r="N24" s="30"/>
      <c r="O24" s="30"/>
      <c r="P24" s="30"/>
      <c r="Q24" s="24"/>
    </row>
    <row r="25" spans="1:17" ht="15" customHeight="1">
      <c r="A25" s="14" t="s">
        <v>45</v>
      </c>
      <c r="B25" s="15">
        <f>13.446652+18.617713-20.655163</f>
        <v>11.409201999999993</v>
      </c>
      <c r="C25" s="15">
        <f>15.574663+21.39552-15.574663</f>
        <v>21.395519999999998</v>
      </c>
      <c r="D25" s="15">
        <v>-5.6486650000000003</v>
      </c>
      <c r="E25" s="15">
        <v>-14.877535</v>
      </c>
      <c r="F25" s="15">
        <v>-7</v>
      </c>
      <c r="G25" s="15">
        <v>2.67</v>
      </c>
      <c r="H25" s="16"/>
      <c r="J25" s="11"/>
      <c r="K25" s="12"/>
      <c r="L25" s="12"/>
      <c r="M25" s="12"/>
      <c r="N25" s="13"/>
      <c r="O25" s="13"/>
      <c r="P25" s="13"/>
      <c r="Q25" s="24"/>
    </row>
    <row r="26" spans="1:17" ht="15" customHeight="1">
      <c r="A26" s="21" t="s">
        <v>46</v>
      </c>
      <c r="B26" s="22">
        <f t="shared" ref="B26:E26" si="19">(B25/B24)</f>
        <v>0.17299506454986771</v>
      </c>
      <c r="C26" s="22">
        <f t="shared" si="19"/>
        <v>0.28008954950219289</v>
      </c>
      <c r="D26" s="22">
        <f t="shared" si="19"/>
        <v>0.16444947542630062</v>
      </c>
      <c r="E26" s="22">
        <f t="shared" si="19"/>
        <v>0.24025694376058016</v>
      </c>
      <c r="F26" s="22">
        <f t="shared" ref="F26:G26" si="20">F25/F24</f>
        <v>0.15555555555555556</v>
      </c>
      <c r="G26" s="87">
        <f t="shared" si="20"/>
        <v>1.0553359683794687</v>
      </c>
      <c r="H26" s="23"/>
      <c r="J26" s="33"/>
      <c r="K26" s="12"/>
      <c r="L26" s="12"/>
      <c r="M26" s="12"/>
      <c r="N26" s="13"/>
      <c r="O26" s="13"/>
      <c r="P26" s="13"/>
      <c r="Q26" s="24"/>
    </row>
    <row r="27" spans="1:17" ht="15" customHeight="1">
      <c r="A27" s="17" t="s">
        <v>47</v>
      </c>
      <c r="B27" s="18">
        <f t="shared" ref="B27:E27" si="21">(B24-B25)</f>
        <v>54.541823999999949</v>
      </c>
      <c r="C27" s="18">
        <f t="shared" si="21"/>
        <v>54.992621000000035</v>
      </c>
      <c r="D27" s="18">
        <f t="shared" si="21"/>
        <v>-28.700274000000007</v>
      </c>
      <c r="E27" s="18">
        <f t="shared" si="21"/>
        <v>-47.045899000000013</v>
      </c>
      <c r="F27" s="18">
        <f t="shared" ref="F27" si="22">F24-F25</f>
        <v>-38</v>
      </c>
      <c r="G27" s="88">
        <f>G24-G25</f>
        <v>-0.14000000000005297</v>
      </c>
      <c r="H27" s="10"/>
      <c r="J27" s="19" t="s">
        <v>48</v>
      </c>
      <c r="K27" s="20"/>
      <c r="L27" s="20">
        <f t="shared" ref="L27:Q27" si="23">SUM(L28:L37)</f>
        <v>588.73615399999994</v>
      </c>
      <c r="M27" s="20">
        <f t="shared" si="23"/>
        <v>486.85252499999996</v>
      </c>
      <c r="N27" s="20">
        <f t="shared" si="23"/>
        <v>441.45136299999996</v>
      </c>
      <c r="O27" s="20">
        <f t="shared" si="23"/>
        <v>545.48800200000005</v>
      </c>
      <c r="P27" s="20">
        <f t="shared" si="23"/>
        <v>584</v>
      </c>
      <c r="Q27" s="20">
        <f t="shared" si="23"/>
        <v>729.25</v>
      </c>
    </row>
    <row r="28" spans="1:17" ht="15" customHeight="1">
      <c r="A28" s="14" t="s">
        <v>49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5"/>
      <c r="J28" s="5" t="s">
        <v>50</v>
      </c>
      <c r="K28" s="12"/>
      <c r="L28" s="36">
        <v>95.832731999999993</v>
      </c>
      <c r="M28" s="36">
        <v>144.65983</v>
      </c>
      <c r="N28" s="37">
        <v>158.33109099999999</v>
      </c>
      <c r="O28" s="13">
        <v>192.45655600000001</v>
      </c>
      <c r="P28" s="13">
        <v>266</v>
      </c>
      <c r="Q28" s="13">
        <v>358.21</v>
      </c>
    </row>
    <row r="29" spans="1:17" ht="29.25" customHeight="1">
      <c r="A29" s="14" t="s">
        <v>51</v>
      </c>
      <c r="B29" s="34">
        <v>0</v>
      </c>
      <c r="C29" s="34">
        <v>0</v>
      </c>
      <c r="D29" s="38">
        <v>0.19730300000000001</v>
      </c>
      <c r="E29" s="38">
        <v>0.16877500000000001</v>
      </c>
      <c r="F29" s="38">
        <v>0</v>
      </c>
      <c r="G29" s="38">
        <v>0.68</v>
      </c>
      <c r="H29" s="39"/>
      <c r="J29" s="5" t="s">
        <v>52</v>
      </c>
      <c r="K29" s="12"/>
      <c r="L29" s="36">
        <v>244.88081</v>
      </c>
      <c r="M29" s="36">
        <v>248.067441</v>
      </c>
      <c r="N29" s="37">
        <v>187.13461100000001</v>
      </c>
      <c r="O29" s="13">
        <v>246</v>
      </c>
      <c r="P29" s="13">
        <v>288</v>
      </c>
      <c r="Q29" s="13">
        <v>335.62</v>
      </c>
    </row>
    <row r="30" spans="1:17" ht="35.25" customHeight="1">
      <c r="A30" s="17" t="s">
        <v>53</v>
      </c>
      <c r="B30" s="40">
        <f t="shared" ref="B30:F30" si="24">B27-B28</f>
        <v>54.541823999999949</v>
      </c>
      <c r="C30" s="40">
        <f t="shared" si="24"/>
        <v>54.992621000000035</v>
      </c>
      <c r="D30" s="40">
        <f t="shared" si="24"/>
        <v>-28.700274000000007</v>
      </c>
      <c r="E30" s="40">
        <f t="shared" si="24"/>
        <v>-47.045899000000013</v>
      </c>
      <c r="F30" s="40">
        <f t="shared" si="24"/>
        <v>-38</v>
      </c>
      <c r="G30" s="85">
        <v>-0.6</v>
      </c>
      <c r="H30" s="41"/>
      <c r="J30" s="5" t="s">
        <v>54</v>
      </c>
      <c r="K30" s="12"/>
      <c r="L30" s="36">
        <v>161.42706100000001</v>
      </c>
      <c r="M30" s="36">
        <v>8.7875329999999998</v>
      </c>
      <c r="N30" s="37">
        <v>7.8997089999999996</v>
      </c>
      <c r="O30" s="13">
        <v>82.351209999999995</v>
      </c>
      <c r="P30" s="13">
        <v>9</v>
      </c>
      <c r="Q30" s="13">
        <v>7.2</v>
      </c>
    </row>
    <row r="31" spans="1:17" ht="15" customHeight="1">
      <c r="A31" s="17" t="s">
        <v>55</v>
      </c>
      <c r="B31" s="31">
        <f t="shared" ref="B31:G31" si="25">B30/B4</f>
        <v>7.1313215168262792E-2</v>
      </c>
      <c r="C31" s="31">
        <f t="shared" si="25"/>
        <v>6.64665726179475E-2</v>
      </c>
      <c r="D31" s="31">
        <f t="shared" si="25"/>
        <v>-5.3622069014161285E-2</v>
      </c>
      <c r="E31" s="31">
        <f t="shared" si="25"/>
        <v>-9.9676324140127226E-2</v>
      </c>
      <c r="F31" s="31">
        <f t="shared" si="25"/>
        <v>-6.3439065108514187E-2</v>
      </c>
      <c r="G31" s="86">
        <f t="shared" si="25"/>
        <v>-7.2983821919474516E-4</v>
      </c>
      <c r="H31" s="32"/>
      <c r="J31" s="5" t="s">
        <v>56</v>
      </c>
      <c r="K31" s="12"/>
      <c r="L31" s="36">
        <v>1.683797</v>
      </c>
      <c r="M31" s="36">
        <v>1.76189</v>
      </c>
      <c r="N31" s="37">
        <v>2.2641300000000002</v>
      </c>
      <c r="O31" s="13">
        <v>1.6802360000000001</v>
      </c>
      <c r="P31" s="13">
        <v>1</v>
      </c>
      <c r="Q31" s="13">
        <v>2.7</v>
      </c>
    </row>
    <row r="32" spans="1:17" ht="15" customHeight="1">
      <c r="A32" s="21" t="s">
        <v>15</v>
      </c>
      <c r="B32" s="22"/>
      <c r="C32" s="22">
        <f t="shared" ref="C32:G32" si="26">C30/B30-1</f>
        <v>8.2651617958373613E-3</v>
      </c>
      <c r="D32" s="22">
        <f t="shared" si="26"/>
        <v>-1.5218931827235509</v>
      </c>
      <c r="E32" s="22">
        <f t="shared" si="26"/>
        <v>0.63921428067202424</v>
      </c>
      <c r="F32" s="22">
        <f t="shared" si="26"/>
        <v>-0.19227816222621252</v>
      </c>
      <c r="G32" s="87">
        <f t="shared" si="26"/>
        <v>-0.98421052631578942</v>
      </c>
      <c r="H32" s="23"/>
      <c r="J32" s="5"/>
      <c r="K32" s="12"/>
      <c r="L32" s="36"/>
      <c r="M32" s="36"/>
      <c r="N32" s="37"/>
      <c r="O32" s="13"/>
      <c r="P32" s="13"/>
      <c r="Q32" s="13"/>
    </row>
    <row r="33" spans="1:17" ht="15" customHeight="1">
      <c r="A33" s="21" t="s">
        <v>17</v>
      </c>
      <c r="B33" s="22"/>
      <c r="C33" s="22"/>
      <c r="D33" s="22"/>
      <c r="E33" s="87">
        <f t="shared" ref="E33:G33" si="27">((E30/B30)^1/3)-1</f>
        <v>-1.2875218535656847</v>
      </c>
      <c r="F33" s="87">
        <f t="shared" si="27"/>
        <v>-1.2303339327410245</v>
      </c>
      <c r="G33" s="87">
        <f t="shared" si="27"/>
        <v>-0.99303142541426603</v>
      </c>
      <c r="H33" s="23"/>
      <c r="J33" s="5" t="s">
        <v>57</v>
      </c>
      <c r="K33" s="12"/>
      <c r="L33" s="36">
        <v>84.911754000000002</v>
      </c>
      <c r="M33" s="36">
        <v>83.575830999999994</v>
      </c>
      <c r="N33" s="37">
        <v>85.821821999999997</v>
      </c>
      <c r="O33" s="13">
        <v>23</v>
      </c>
      <c r="P33" s="13">
        <v>20</v>
      </c>
      <c r="Q33" s="13">
        <v>25.52</v>
      </c>
    </row>
    <row r="34" spans="1:17" ht="15" customHeight="1">
      <c r="A34" s="2" t="s">
        <v>58</v>
      </c>
      <c r="B34" s="42">
        <v>2.25</v>
      </c>
      <c r="C34" s="42">
        <v>2.27</v>
      </c>
      <c r="D34" s="42">
        <v>-1.18</v>
      </c>
      <c r="E34" s="42">
        <v>-1.79</v>
      </c>
      <c r="F34" s="42">
        <v>-1.79</v>
      </c>
      <c r="G34" s="42">
        <v>0</v>
      </c>
      <c r="H34" s="43"/>
      <c r="J34" s="11"/>
      <c r="K34" s="12"/>
      <c r="L34" s="36"/>
      <c r="M34" s="36"/>
      <c r="N34" s="44"/>
      <c r="O34" s="30"/>
      <c r="P34" s="30"/>
      <c r="Q34" s="24"/>
    </row>
    <row r="35" spans="1:17" ht="15" customHeight="1">
      <c r="A35" s="45" t="s">
        <v>15</v>
      </c>
      <c r="B35" s="46"/>
      <c r="C35" s="22">
        <f t="shared" ref="C35:F35" si="28">C34/B34-1</f>
        <v>8.8888888888889461E-3</v>
      </c>
      <c r="D35" s="22">
        <f t="shared" si="28"/>
        <v>-1.5198237885462555</v>
      </c>
      <c r="E35" s="22">
        <f t="shared" si="28"/>
        <v>0.51694915254237306</v>
      </c>
      <c r="F35" s="22">
        <f t="shared" si="28"/>
        <v>0</v>
      </c>
      <c r="G35" s="90" t="s">
        <v>115</v>
      </c>
      <c r="H35" s="47"/>
      <c r="J35" s="11"/>
      <c r="K35" s="12"/>
      <c r="L35" s="12"/>
      <c r="M35" s="12"/>
      <c r="N35" s="13"/>
      <c r="O35" s="13"/>
      <c r="P35" s="13"/>
      <c r="Q35" s="24"/>
    </row>
    <row r="36" spans="1:17" ht="15" customHeight="1">
      <c r="A36" s="45" t="s">
        <v>59</v>
      </c>
      <c r="B36" s="46"/>
      <c r="C36" s="46"/>
      <c r="D36" s="46"/>
      <c r="E36" s="46">
        <f t="shared" ref="E36:F36" si="29">((E34/B34)^1/3)-1</f>
        <v>-1.2651851851851852</v>
      </c>
      <c r="F36" s="46">
        <f t="shared" si="29"/>
        <v>-1.262848751835536</v>
      </c>
      <c r="G36" s="91" t="s">
        <v>115</v>
      </c>
      <c r="H36" s="47"/>
      <c r="J36" s="11"/>
      <c r="K36" s="12"/>
      <c r="L36" s="12"/>
      <c r="M36" s="12"/>
      <c r="N36" s="13"/>
      <c r="O36" s="13"/>
      <c r="P36" s="13"/>
      <c r="Q36" s="24"/>
    </row>
    <row r="37" spans="1:17" ht="15" customHeight="1">
      <c r="A37" s="48"/>
      <c r="B37" s="49"/>
      <c r="C37" s="49"/>
      <c r="D37" s="49"/>
      <c r="E37" s="49"/>
      <c r="F37" s="49"/>
      <c r="G37" s="49"/>
      <c r="H37" s="49"/>
      <c r="J37" s="11"/>
      <c r="K37" s="30"/>
      <c r="L37" s="30"/>
      <c r="M37" s="30"/>
      <c r="N37" s="30"/>
      <c r="O37" s="30"/>
      <c r="P37" s="30"/>
      <c r="Q37" s="24"/>
    </row>
    <row r="38" spans="1:17" ht="15" customHeight="1">
      <c r="A38" s="48"/>
      <c r="B38" s="16"/>
      <c r="C38" s="16"/>
      <c r="D38" s="16"/>
      <c r="E38" s="16"/>
      <c r="F38" s="16"/>
      <c r="G38" s="16"/>
      <c r="H38" s="16"/>
      <c r="J38" s="19" t="s">
        <v>60</v>
      </c>
      <c r="K38" s="20"/>
      <c r="L38" s="20">
        <f t="shared" ref="L38:Q38" si="30">SUM(L39:L45)</f>
        <v>233.48906199999999</v>
      </c>
      <c r="M38" s="20">
        <f t="shared" si="30"/>
        <v>301.358451</v>
      </c>
      <c r="N38" s="20">
        <f t="shared" si="30"/>
        <v>299.63693999999998</v>
      </c>
      <c r="O38" s="20">
        <f t="shared" si="30"/>
        <v>221</v>
      </c>
      <c r="P38" s="20">
        <f t="shared" si="30"/>
        <v>269</v>
      </c>
      <c r="Q38" s="20">
        <f t="shared" si="30"/>
        <v>403.06800000000004</v>
      </c>
    </row>
    <row r="39" spans="1:17" ht="15" customHeight="1">
      <c r="A39" s="48"/>
      <c r="B39" s="47"/>
      <c r="C39" s="47"/>
      <c r="D39" s="47"/>
      <c r="E39" s="47"/>
      <c r="F39" s="47"/>
      <c r="G39" s="47"/>
      <c r="H39" s="47"/>
      <c r="J39" s="11" t="s">
        <v>61</v>
      </c>
      <c r="K39" s="12"/>
      <c r="L39" s="12">
        <f>13.98825+51.098238</f>
        <v>65.086488000000003</v>
      </c>
      <c r="M39" s="12">
        <f>38.599436+75.683711</f>
        <v>114.283147</v>
      </c>
      <c r="N39" s="13">
        <f>47.200195+81.765699</f>
        <v>128.96589399999999</v>
      </c>
      <c r="O39" s="13">
        <v>104</v>
      </c>
      <c r="P39" s="13">
        <v>130</v>
      </c>
      <c r="Q39" s="13">
        <v>202.727</v>
      </c>
    </row>
    <row r="40" spans="1:17" ht="15" customHeight="1">
      <c r="A40" s="50" t="s">
        <v>62</v>
      </c>
      <c r="B40" s="51"/>
      <c r="C40" s="51"/>
      <c r="D40" s="51"/>
      <c r="E40" s="51"/>
      <c r="F40" s="51"/>
      <c r="G40" s="51"/>
      <c r="H40" s="51"/>
      <c r="J40" s="11" t="s">
        <v>63</v>
      </c>
      <c r="K40" s="12"/>
      <c r="L40" s="12"/>
      <c r="M40" s="12"/>
      <c r="N40" s="13">
        <v>42</v>
      </c>
      <c r="O40" s="13">
        <v>0</v>
      </c>
      <c r="P40" s="13">
        <v>0</v>
      </c>
      <c r="Q40" s="13">
        <v>0</v>
      </c>
    </row>
    <row r="41" spans="1:17" ht="15" customHeight="1">
      <c r="A41" s="2" t="s">
        <v>3</v>
      </c>
      <c r="B41" s="52" t="s">
        <v>64</v>
      </c>
      <c r="C41" s="52" t="s">
        <v>65</v>
      </c>
      <c r="D41" s="52" t="s">
        <v>66</v>
      </c>
      <c r="E41" s="52" t="s">
        <v>67</v>
      </c>
      <c r="F41" s="52" t="s">
        <v>8</v>
      </c>
      <c r="G41" s="52" t="s">
        <v>117</v>
      </c>
      <c r="H41" s="4"/>
      <c r="J41" s="11" t="s">
        <v>68</v>
      </c>
      <c r="K41" s="12"/>
      <c r="L41" s="12">
        <v>154.648674</v>
      </c>
      <c r="M41" s="12">
        <v>171.20970700000001</v>
      </c>
      <c r="N41" s="13">
        <v>128.351112</v>
      </c>
      <c r="O41" s="13">
        <v>117</v>
      </c>
      <c r="P41" s="13">
        <v>138</v>
      </c>
      <c r="Q41" s="13">
        <v>199.84800000000001</v>
      </c>
    </row>
    <row r="42" spans="1:17" ht="15" customHeight="1">
      <c r="A42" s="2" t="s">
        <v>69</v>
      </c>
      <c r="B42" s="9">
        <v>13.966165999999999</v>
      </c>
      <c r="C42" s="9">
        <v>161.427064</v>
      </c>
      <c r="D42" s="9">
        <v>8.7875329999999998</v>
      </c>
      <c r="E42" s="9">
        <v>7.8997089999999996</v>
      </c>
      <c r="F42" s="9">
        <v>82.351209999999995</v>
      </c>
      <c r="G42" s="9">
        <v>9.1199999999999992</v>
      </c>
      <c r="H42" s="10"/>
      <c r="J42" s="11" t="s">
        <v>70</v>
      </c>
      <c r="K42" s="12"/>
      <c r="L42" s="12"/>
      <c r="M42" s="12"/>
      <c r="N42" s="13"/>
      <c r="O42" s="13"/>
      <c r="P42" s="13">
        <v>1</v>
      </c>
      <c r="Q42" s="13">
        <v>0</v>
      </c>
    </row>
    <row r="43" spans="1:17" ht="15" customHeight="1">
      <c r="A43" s="2" t="s">
        <v>71</v>
      </c>
      <c r="B43" s="9">
        <v>123.042624</v>
      </c>
      <c r="C43" s="9">
        <v>211.89749399999999</v>
      </c>
      <c r="D43" s="9">
        <v>125.528244</v>
      </c>
      <c r="E43" s="9">
        <v>-47.084302999999998</v>
      </c>
      <c r="F43" s="9">
        <v>-5.673527</v>
      </c>
      <c r="G43" s="9">
        <v>101.75</v>
      </c>
      <c r="H43" s="10"/>
      <c r="J43" s="11" t="s">
        <v>72</v>
      </c>
      <c r="K43" s="12"/>
      <c r="L43" s="12">
        <v>13.7539</v>
      </c>
      <c r="M43" s="12">
        <v>15.865596999999999</v>
      </c>
      <c r="N43" s="13">
        <v>0.319934</v>
      </c>
      <c r="O43" s="13"/>
      <c r="P43" s="13"/>
      <c r="Q43" s="13">
        <v>0.49299999999999999</v>
      </c>
    </row>
    <row r="44" spans="1:17" ht="15" customHeight="1">
      <c r="A44" s="14" t="s">
        <v>73</v>
      </c>
      <c r="B44" s="15">
        <v>160.54397499999999</v>
      </c>
      <c r="C44" s="15">
        <v>253.76093</v>
      </c>
      <c r="D44" s="15">
        <v>87.894238999999999</v>
      </c>
      <c r="E44" s="15">
        <v>-5.1626580000000004</v>
      </c>
      <c r="F44" s="15">
        <v>-44.764228000000003</v>
      </c>
      <c r="G44" s="15">
        <v>-106.37</v>
      </c>
      <c r="H44" s="16"/>
      <c r="J44" s="11" t="s">
        <v>74</v>
      </c>
      <c r="K44" s="12"/>
      <c r="L44" s="12"/>
      <c r="M44" s="12"/>
      <c r="N44" s="13"/>
      <c r="O44" s="13"/>
      <c r="P44" s="13"/>
      <c r="Q44" s="24"/>
    </row>
    <row r="45" spans="1:17" ht="15" customHeight="1">
      <c r="A45" s="14" t="s">
        <v>75</v>
      </c>
      <c r="B45" s="15">
        <v>184.96224699999999</v>
      </c>
      <c r="C45" s="15">
        <v>-110.776094</v>
      </c>
      <c r="D45" s="15">
        <v>-38.521830000000001</v>
      </c>
      <c r="E45" s="15">
        <v>116.37314499999999</v>
      </c>
      <c r="F45" s="15">
        <v>-19.877818999999999</v>
      </c>
      <c r="G45" s="15">
        <v>2.7</v>
      </c>
      <c r="H45" s="16"/>
      <c r="J45" s="11"/>
      <c r="K45" s="12"/>
      <c r="L45" s="12"/>
      <c r="M45" s="12"/>
      <c r="N45" s="13"/>
      <c r="O45" s="13"/>
      <c r="P45" s="13"/>
      <c r="Q45" s="24"/>
    </row>
    <row r="46" spans="1:17" ht="15" customHeight="1">
      <c r="A46" s="2" t="s">
        <v>76</v>
      </c>
      <c r="B46" s="18">
        <f t="shared" ref="B46:G46" si="31">+B43+B44+B45</f>
        <v>468.54884599999997</v>
      </c>
      <c r="C46" s="18">
        <f t="shared" si="31"/>
        <v>354.88232999999997</v>
      </c>
      <c r="D46" s="18">
        <f t="shared" si="31"/>
        <v>174.90065300000001</v>
      </c>
      <c r="E46" s="18">
        <f t="shared" si="31"/>
        <v>64.126183999999995</v>
      </c>
      <c r="F46" s="18">
        <f t="shared" si="31"/>
        <v>-70.315573999999998</v>
      </c>
      <c r="G46" s="88">
        <f t="shared" si="31"/>
        <v>-1.9200000000000044</v>
      </c>
      <c r="H46" s="10"/>
      <c r="J46" s="19" t="s">
        <v>77</v>
      </c>
      <c r="K46" s="20"/>
      <c r="L46" s="20">
        <f t="shared" ref="L46:Q46" si="32">(L27-L38-L9)</f>
        <v>171.15242399999994</v>
      </c>
      <c r="M46" s="20">
        <f t="shared" si="32"/>
        <v>26.624408999999957</v>
      </c>
      <c r="N46" s="20">
        <f t="shared" si="32"/>
        <v>21.29486799999998</v>
      </c>
      <c r="O46" s="20">
        <f t="shared" si="32"/>
        <v>181.48800200000005</v>
      </c>
      <c r="P46" s="20">
        <f t="shared" si="32"/>
        <v>133</v>
      </c>
      <c r="Q46" s="93">
        <f t="shared" si="32"/>
        <v>166.50199999999995</v>
      </c>
    </row>
    <row r="47" spans="1:17" ht="15" customHeight="1">
      <c r="A47" s="2" t="s">
        <v>78</v>
      </c>
      <c r="B47" s="18">
        <f t="shared" ref="B47:G47" si="33">B46+B42</f>
        <v>482.51501199999996</v>
      </c>
      <c r="C47" s="18">
        <f t="shared" si="33"/>
        <v>516.309394</v>
      </c>
      <c r="D47" s="18">
        <f t="shared" si="33"/>
        <v>183.688186</v>
      </c>
      <c r="E47" s="18">
        <f t="shared" si="33"/>
        <v>72.025892999999996</v>
      </c>
      <c r="F47" s="18">
        <f t="shared" si="33"/>
        <v>12.035635999999997</v>
      </c>
      <c r="G47" s="88">
        <f t="shared" si="33"/>
        <v>7.1999999999999948</v>
      </c>
      <c r="H47" s="10"/>
      <c r="J47" s="11" t="s">
        <v>79</v>
      </c>
      <c r="K47" s="12"/>
      <c r="L47" s="12">
        <v>23.280184999999999</v>
      </c>
      <c r="M47" s="12">
        <v>44.675705000000001</v>
      </c>
      <c r="N47" s="13">
        <v>38.156658999999998</v>
      </c>
      <c r="O47" s="13">
        <v>22.192754999999998</v>
      </c>
      <c r="P47" s="13">
        <v>15</v>
      </c>
      <c r="Q47" s="13">
        <v>18.219000000000001</v>
      </c>
    </row>
    <row r="48" spans="1:17" ht="15" customHeight="1">
      <c r="A48" s="14"/>
      <c r="B48" s="53"/>
      <c r="C48" s="53"/>
      <c r="D48" s="53"/>
      <c r="E48" s="53"/>
      <c r="F48" s="53"/>
      <c r="G48" s="53"/>
      <c r="H48" s="49"/>
      <c r="J48" s="11" t="s">
        <v>80</v>
      </c>
      <c r="K48" s="12"/>
      <c r="L48" s="12"/>
      <c r="M48" s="12"/>
      <c r="N48" s="13"/>
      <c r="O48" s="13"/>
      <c r="P48" s="13"/>
      <c r="Q48" s="13"/>
    </row>
    <row r="49" spans="1:20" ht="15" customHeight="1">
      <c r="A49" s="2" t="s">
        <v>81</v>
      </c>
      <c r="B49" s="52" t="s">
        <v>64</v>
      </c>
      <c r="C49" s="52" t="s">
        <v>65</v>
      </c>
      <c r="D49" s="52" t="s">
        <v>66</v>
      </c>
      <c r="E49" s="52" t="s">
        <v>67</v>
      </c>
      <c r="F49" s="52" t="s">
        <v>8</v>
      </c>
      <c r="G49" s="52" t="s">
        <v>117</v>
      </c>
      <c r="H49" s="4"/>
      <c r="J49" s="11" t="s">
        <v>70</v>
      </c>
      <c r="K49" s="12"/>
      <c r="L49" s="12"/>
      <c r="M49" s="12"/>
      <c r="N49" s="13"/>
      <c r="O49" s="13"/>
      <c r="P49" s="13"/>
      <c r="Q49" s="13"/>
    </row>
    <row r="50" spans="1:20" ht="15" customHeight="1">
      <c r="A50" s="108"/>
      <c r="B50" s="109"/>
      <c r="C50" s="109"/>
      <c r="D50" s="109"/>
      <c r="E50" s="110"/>
      <c r="F50" s="108"/>
      <c r="G50" s="54"/>
      <c r="H50" s="55"/>
      <c r="J50" s="11" t="s">
        <v>82</v>
      </c>
      <c r="K50" s="12"/>
      <c r="L50" s="12">
        <v>8.5045540000000006</v>
      </c>
      <c r="M50" s="12">
        <v>22.241191000000001</v>
      </c>
      <c r="N50" s="13">
        <v>35.057859000000001</v>
      </c>
      <c r="O50" s="13">
        <v>23</v>
      </c>
      <c r="P50" s="13">
        <v>22</v>
      </c>
      <c r="Q50" s="13">
        <v>22.885999999999999</v>
      </c>
    </row>
    <row r="51" spans="1:20" ht="15" customHeight="1">
      <c r="A51" s="111"/>
      <c r="B51" s="109"/>
      <c r="C51" s="109"/>
      <c r="D51" s="109"/>
      <c r="E51" s="110"/>
      <c r="F51" s="111"/>
      <c r="G51" s="54"/>
      <c r="H51" s="55"/>
      <c r="J51" s="5"/>
      <c r="K51" s="36"/>
      <c r="L51" s="36"/>
      <c r="M51" s="36"/>
      <c r="N51" s="13"/>
      <c r="O51" s="13"/>
      <c r="P51" s="13"/>
      <c r="Q51" s="24"/>
    </row>
    <row r="52" spans="1:20" ht="15" customHeight="1">
      <c r="A52" s="111"/>
      <c r="B52" s="109"/>
      <c r="C52" s="109"/>
      <c r="D52" s="109"/>
      <c r="E52" s="110"/>
      <c r="F52" s="111"/>
      <c r="G52" s="54"/>
      <c r="H52" s="55"/>
      <c r="J52" s="19" t="s">
        <v>83</v>
      </c>
      <c r="K52" s="20"/>
      <c r="L52" s="20">
        <f t="shared" ref="L52:Q52" si="34">SUM(L15:L26)+L27</f>
        <v>1414.03206</v>
      </c>
      <c r="M52" s="20">
        <f t="shared" si="34"/>
        <v>1498.9713499999998</v>
      </c>
      <c r="N52" s="20">
        <f t="shared" si="34"/>
        <v>1474.276376</v>
      </c>
      <c r="O52" s="20">
        <f t="shared" si="34"/>
        <v>1519.049027</v>
      </c>
      <c r="P52" s="20">
        <f t="shared" si="34"/>
        <v>1547</v>
      </c>
      <c r="Q52" s="93">
        <f t="shared" si="34"/>
        <v>1720.9850000000001</v>
      </c>
    </row>
    <row r="53" spans="1:20" ht="15" customHeight="1">
      <c r="A53" s="111"/>
      <c r="B53" s="109"/>
      <c r="C53" s="109"/>
      <c r="D53" s="109"/>
      <c r="E53" s="110"/>
      <c r="F53" s="111"/>
      <c r="G53" s="54"/>
      <c r="H53" s="55"/>
      <c r="J53" s="19" t="s">
        <v>84</v>
      </c>
      <c r="K53" s="20"/>
      <c r="L53" s="20">
        <f t="shared" ref="L53:M53" si="35">L50+L38+L10+L6+L47+L48+L51+L7</f>
        <v>1414.03206</v>
      </c>
      <c r="M53" s="20">
        <f t="shared" si="35"/>
        <v>1498.9713510000001</v>
      </c>
      <c r="N53" s="20">
        <f t="shared" ref="N53:P53" si="36">N50+N38+N10+N6+N47+N48+N51+N7+N49</f>
        <v>1474.3148570000001</v>
      </c>
      <c r="O53" s="20">
        <f t="shared" si="36"/>
        <v>1519.415788</v>
      </c>
      <c r="P53" s="20">
        <f t="shared" si="36"/>
        <v>1547</v>
      </c>
      <c r="Q53" s="93">
        <f>Q50+Q38+Q10+Q6+Q47+Q48+Q51+Q7+Q49</f>
        <v>1720.9610000000002</v>
      </c>
      <c r="T53" s="84">
        <f>Q52-Q53</f>
        <v>2.3999999999887223E-2</v>
      </c>
    </row>
    <row r="54" spans="1:20" ht="15" customHeight="1">
      <c r="A54" s="112"/>
      <c r="B54" s="113"/>
      <c r="C54" s="113"/>
      <c r="D54" s="113"/>
      <c r="E54" s="114"/>
      <c r="F54" s="112"/>
      <c r="G54" s="54"/>
      <c r="H54" s="55"/>
      <c r="J54" s="5" t="s">
        <v>85</v>
      </c>
      <c r="K54" s="11"/>
      <c r="L54" s="13"/>
      <c r="M54" s="11"/>
      <c r="N54" s="11"/>
      <c r="O54" s="11"/>
      <c r="P54" s="11"/>
      <c r="Q54" s="24"/>
    </row>
    <row r="55" spans="1:20" ht="15" customHeight="1">
      <c r="A55" s="2" t="s">
        <v>86</v>
      </c>
      <c r="B55" s="18">
        <f t="shared" ref="B55:G55" si="37">B43</f>
        <v>123.042624</v>
      </c>
      <c r="C55" s="18">
        <f t="shared" si="37"/>
        <v>211.89749399999999</v>
      </c>
      <c r="D55" s="18">
        <f t="shared" si="37"/>
        <v>125.528244</v>
      </c>
      <c r="E55" s="18">
        <f t="shared" si="37"/>
        <v>-47.084302999999998</v>
      </c>
      <c r="F55" s="18">
        <f t="shared" si="37"/>
        <v>-5.673527</v>
      </c>
      <c r="G55" s="88">
        <f t="shared" si="37"/>
        <v>101.75</v>
      </c>
      <c r="H55" s="10"/>
      <c r="J55" s="5" t="s">
        <v>87</v>
      </c>
      <c r="K55" s="6"/>
      <c r="L55" s="6" t="s">
        <v>64</v>
      </c>
      <c r="M55" s="56" t="s">
        <v>65</v>
      </c>
      <c r="N55" s="56" t="s">
        <v>66</v>
      </c>
      <c r="O55" s="56" t="s">
        <v>67</v>
      </c>
      <c r="P55" s="56" t="s">
        <v>8</v>
      </c>
      <c r="Q55" s="56" t="s">
        <v>117</v>
      </c>
    </row>
    <row r="56" spans="1:20" ht="15" customHeight="1">
      <c r="A56" s="14" t="s">
        <v>88</v>
      </c>
      <c r="B56" s="57">
        <v>-87.044963999999993</v>
      </c>
      <c r="C56" s="57">
        <v>-256.72308099999998</v>
      </c>
      <c r="D56" s="57">
        <v>-84.101426000000004</v>
      </c>
      <c r="E56" s="57">
        <v>-9.5940539999999999</v>
      </c>
      <c r="F56" s="57">
        <v>-44.989629000000001</v>
      </c>
      <c r="G56" s="89">
        <v>-108</v>
      </c>
      <c r="H56" s="16"/>
      <c r="J56" s="37" t="s">
        <v>89</v>
      </c>
      <c r="K56" s="44"/>
      <c r="L56" s="44">
        <v>75.2</v>
      </c>
      <c r="M56" s="44">
        <v>70</v>
      </c>
      <c r="N56" s="44">
        <v>35.549999999999997</v>
      </c>
      <c r="O56" s="44">
        <v>80</v>
      </c>
      <c r="P56" s="44">
        <v>91.85</v>
      </c>
      <c r="Q56" s="44">
        <v>102.3</v>
      </c>
    </row>
    <row r="57" spans="1:20" ht="15" customHeight="1">
      <c r="A57" s="17" t="s">
        <v>90</v>
      </c>
      <c r="B57" s="18">
        <f t="shared" ref="B57:G57" si="38">SUM(B55:B56)</f>
        <v>35.99766000000001</v>
      </c>
      <c r="C57" s="18">
        <f t="shared" si="38"/>
        <v>-44.825586999999985</v>
      </c>
      <c r="D57" s="18">
        <f t="shared" si="38"/>
        <v>41.426817999999997</v>
      </c>
      <c r="E57" s="18">
        <f t="shared" si="38"/>
        <v>-56.678356999999998</v>
      </c>
      <c r="F57" s="18">
        <f t="shared" si="38"/>
        <v>-50.663156000000001</v>
      </c>
      <c r="G57" s="88">
        <f t="shared" si="38"/>
        <v>-6.25</v>
      </c>
      <c r="H57" s="10"/>
      <c r="J57" s="58" t="s">
        <v>91</v>
      </c>
      <c r="K57" s="59"/>
      <c r="L57" s="59">
        <f t="shared" ref="L57:P57" si="39">B34</f>
        <v>2.25</v>
      </c>
      <c r="M57" s="59">
        <f t="shared" si="39"/>
        <v>2.27</v>
      </c>
      <c r="N57" s="59">
        <f t="shared" si="39"/>
        <v>-1.18</v>
      </c>
      <c r="O57" s="59">
        <f t="shared" si="39"/>
        <v>-1.79</v>
      </c>
      <c r="P57" s="59">
        <f t="shared" si="39"/>
        <v>-1.79</v>
      </c>
      <c r="Q57" s="59">
        <f>G34+ (0)</f>
        <v>0</v>
      </c>
    </row>
    <row r="58" spans="1:20" ht="15" customHeight="1">
      <c r="A58" s="48" t="s">
        <v>92</v>
      </c>
      <c r="B58" s="49"/>
      <c r="C58" s="49"/>
      <c r="D58" s="60"/>
      <c r="E58" s="49"/>
      <c r="F58" s="49"/>
      <c r="G58" s="49"/>
      <c r="H58" s="49"/>
      <c r="J58" s="61" t="s">
        <v>93</v>
      </c>
      <c r="K58" s="62"/>
      <c r="L58" s="62">
        <f t="shared" ref="L58:Q58" si="40">(L6*1000000)/B60</f>
        <v>35.58953022089738</v>
      </c>
      <c r="M58" s="62">
        <f t="shared" si="40"/>
        <v>36.787357358575797</v>
      </c>
      <c r="N58" s="62">
        <f t="shared" si="40"/>
        <v>35.60968601099492</v>
      </c>
      <c r="O58" s="62">
        <f t="shared" si="40"/>
        <v>40.591330108275322</v>
      </c>
      <c r="P58" s="62">
        <f t="shared" si="40"/>
        <v>37.527803920389509</v>
      </c>
      <c r="Q58" s="62">
        <f t="shared" si="40"/>
        <v>36.202573527248177</v>
      </c>
    </row>
    <row r="59" spans="1:20" ht="15" customHeight="1">
      <c r="A59" s="48"/>
      <c r="B59" s="49"/>
      <c r="C59" s="49"/>
      <c r="D59" s="49"/>
      <c r="E59" s="49"/>
      <c r="F59" s="4"/>
      <c r="G59" s="4"/>
      <c r="H59" s="49"/>
      <c r="J59" s="13" t="s">
        <v>94</v>
      </c>
      <c r="K59" s="30"/>
      <c r="L59" s="30"/>
      <c r="M59" s="30"/>
      <c r="N59" s="30"/>
      <c r="O59" s="30"/>
      <c r="P59" s="30"/>
      <c r="Q59" s="24"/>
    </row>
    <row r="60" spans="1:20" ht="15" customHeight="1">
      <c r="A60" s="14" t="s">
        <v>95</v>
      </c>
      <c r="B60" s="63">
        <v>24202822</v>
      </c>
      <c r="C60" s="63">
        <v>24202822</v>
      </c>
      <c r="D60" s="63">
        <v>24202822</v>
      </c>
      <c r="E60" s="63">
        <v>25552822</v>
      </c>
      <c r="F60" s="63">
        <v>26540322</v>
      </c>
      <c r="G60" s="92">
        <v>27527822</v>
      </c>
      <c r="H60" s="64"/>
      <c r="J60" s="13" t="s">
        <v>96</v>
      </c>
      <c r="K60" s="62"/>
      <c r="L60" s="62">
        <f t="shared" ref="L60:P60" si="41">(L56/L57)</f>
        <v>33.422222222222224</v>
      </c>
      <c r="M60" s="62">
        <f t="shared" si="41"/>
        <v>30.837004405286343</v>
      </c>
      <c r="N60" s="62">
        <f t="shared" si="41"/>
        <v>-30.127118644067796</v>
      </c>
      <c r="O60" s="62">
        <f t="shared" si="41"/>
        <v>-44.692737430167597</v>
      </c>
      <c r="P60" s="62">
        <f t="shared" si="41"/>
        <v>-51.312849162011169</v>
      </c>
      <c r="Q60" s="97" t="s">
        <v>118</v>
      </c>
    </row>
    <row r="61" spans="1:20" ht="15" customHeight="1">
      <c r="A61" s="14" t="s">
        <v>97</v>
      </c>
      <c r="B61" s="57">
        <f t="shared" ref="B61:G61" si="42">B60*L56/1000000</f>
        <v>1820.0522144000001</v>
      </c>
      <c r="C61" s="57">
        <f t="shared" si="42"/>
        <v>1694.1975399999999</v>
      </c>
      <c r="D61" s="57">
        <f t="shared" si="42"/>
        <v>860.41032209999992</v>
      </c>
      <c r="E61" s="57">
        <f t="shared" si="42"/>
        <v>2044.22576</v>
      </c>
      <c r="F61" s="57">
        <f t="shared" si="42"/>
        <v>2437.7285757</v>
      </c>
      <c r="G61" s="89">
        <f t="shared" si="42"/>
        <v>2816.0961905999998</v>
      </c>
      <c r="H61" s="16"/>
      <c r="J61" s="13" t="s">
        <v>98</v>
      </c>
      <c r="K61" s="62"/>
      <c r="L61" s="62">
        <f t="shared" ref="L61:Q61" si="43">(L56/L58)</f>
        <v>2.1129809675274736</v>
      </c>
      <c r="M61" s="62">
        <f t="shared" si="43"/>
        <v>1.9028276295492517</v>
      </c>
      <c r="N61" s="62">
        <f t="shared" si="43"/>
        <v>0.99832388269370043</v>
      </c>
      <c r="O61" s="62">
        <f t="shared" si="43"/>
        <v>1.9708642162403656</v>
      </c>
      <c r="P61" s="62">
        <f t="shared" si="43"/>
        <v>2.447518650301205</v>
      </c>
      <c r="Q61" s="62">
        <f t="shared" si="43"/>
        <v>2.8257659617210091</v>
      </c>
    </row>
    <row r="62" spans="1:20" ht="15" customHeight="1">
      <c r="A62" s="65" t="s">
        <v>99</v>
      </c>
      <c r="B62" s="57">
        <f t="shared" ref="B62:G62" si="44">L10</f>
        <v>287.39119400000004</v>
      </c>
      <c r="C62" s="57">
        <f t="shared" si="44"/>
        <v>240.338142</v>
      </c>
      <c r="D62" s="57">
        <f t="shared" si="44"/>
        <v>239.608507</v>
      </c>
      <c r="E62" s="57">
        <f t="shared" si="44"/>
        <v>216</v>
      </c>
      <c r="F62" s="57">
        <f t="shared" si="44"/>
        <v>245</v>
      </c>
      <c r="G62" s="89">
        <f t="shared" si="44"/>
        <v>280.21000000000004</v>
      </c>
      <c r="H62" s="16"/>
      <c r="J62" s="13" t="s">
        <v>100</v>
      </c>
      <c r="K62" s="62"/>
      <c r="L62" s="62">
        <f t="shared" ref="L62:P62" si="45">B64/B16</f>
        <v>11.676343474434464</v>
      </c>
      <c r="M62" s="62">
        <f t="shared" si="45"/>
        <v>10.630926828139433</v>
      </c>
      <c r="N62" s="62">
        <f t="shared" si="45"/>
        <v>15.462252519803259</v>
      </c>
      <c r="O62" s="62">
        <f t="shared" si="45"/>
        <v>63.538952715631289</v>
      </c>
      <c r="P62" s="62">
        <f t="shared" si="45"/>
        <v>50.787331616981135</v>
      </c>
      <c r="Q62" s="62">
        <f>G64/(G16)</f>
        <v>27.389517170593955</v>
      </c>
    </row>
    <row r="63" spans="1:20" ht="15" customHeight="1">
      <c r="A63" s="65" t="s">
        <v>101</v>
      </c>
      <c r="B63" s="57">
        <f t="shared" ref="B63:G63" si="46">L30</f>
        <v>161.42706100000001</v>
      </c>
      <c r="C63" s="57">
        <f t="shared" si="46"/>
        <v>8.7875329999999998</v>
      </c>
      <c r="D63" s="57">
        <f t="shared" si="46"/>
        <v>7.8997089999999996</v>
      </c>
      <c r="E63" s="57">
        <f t="shared" si="46"/>
        <v>82.351209999999995</v>
      </c>
      <c r="F63" s="57">
        <f t="shared" si="46"/>
        <v>9</v>
      </c>
      <c r="G63" s="89">
        <f t="shared" si="46"/>
        <v>7.2</v>
      </c>
      <c r="H63" s="16"/>
      <c r="I63" s="66"/>
      <c r="J63" s="67" t="s">
        <v>102</v>
      </c>
      <c r="K63" s="69"/>
      <c r="L63" s="69">
        <f t="shared" ref="L63:Q63" si="47">(B27/L6)</f>
        <v>6.3320071333351879E-2</v>
      </c>
      <c r="M63" s="69">
        <f t="shared" si="47"/>
        <v>6.1764626727135064E-2</v>
      </c>
      <c r="N63" s="69">
        <f t="shared" si="47"/>
        <v>-3.3300587217644992E-2</v>
      </c>
      <c r="O63" s="69">
        <f t="shared" si="47"/>
        <v>-4.5357553296832748E-2</v>
      </c>
      <c r="P63" s="69">
        <f t="shared" si="47"/>
        <v>-3.8152610441767071E-2</v>
      </c>
      <c r="Q63" s="98">
        <f t="shared" si="47"/>
        <v>-1.4048072504114378E-4</v>
      </c>
    </row>
    <row r="64" spans="1:20" ht="15" customHeight="1">
      <c r="A64" s="14" t="s">
        <v>103</v>
      </c>
      <c r="B64" s="18">
        <f t="shared" ref="B64:E64" si="48">B61+B62-B63</f>
        <v>1946.0163474000003</v>
      </c>
      <c r="C64" s="18">
        <f t="shared" si="48"/>
        <v>1925.748149</v>
      </c>
      <c r="D64" s="18">
        <f t="shared" si="48"/>
        <v>1092.1191200999999</v>
      </c>
      <c r="E64" s="18">
        <f t="shared" si="48"/>
        <v>2177.8745500000005</v>
      </c>
      <c r="F64" s="18">
        <f t="shared" ref="F64:G64" si="49">F61+F62+F63</f>
        <v>2691.7285757</v>
      </c>
      <c r="G64" s="88">
        <f t="shared" si="49"/>
        <v>3103.5061905999996</v>
      </c>
      <c r="H64" s="10"/>
      <c r="J64" s="67" t="s">
        <v>104</v>
      </c>
      <c r="K64" s="69"/>
      <c r="L64" s="69">
        <f t="shared" ref="L64:Q64" si="50">(B16-B20)/L11</f>
        <v>0.10682772582899501</v>
      </c>
      <c r="M64" s="69">
        <f t="shared" si="50"/>
        <v>0.10698450324925583</v>
      </c>
      <c r="N64" s="69">
        <f t="shared" si="50"/>
        <v>2.4033979061677158E-3</v>
      </c>
      <c r="O64" s="69">
        <f t="shared" si="50"/>
        <v>-2.4254509321279944E-2</v>
      </c>
      <c r="P64" s="69">
        <f t="shared" si="50"/>
        <v>-1.6423357664233577E-2</v>
      </c>
      <c r="Q64" s="69">
        <f t="shared" si="50"/>
        <v>2.9726829175635183E-2</v>
      </c>
    </row>
    <row r="65" spans="1:19" ht="15" customHeight="1">
      <c r="A65" s="70"/>
      <c r="B65" s="71"/>
      <c r="C65" s="71"/>
      <c r="D65" s="71"/>
      <c r="E65" s="71"/>
      <c r="F65" s="71"/>
      <c r="G65" s="71"/>
      <c r="H65" s="71"/>
      <c r="I65" s="71"/>
      <c r="J65" s="37" t="s">
        <v>105</v>
      </c>
      <c r="K65" s="72"/>
      <c r="L65" s="72">
        <f t="shared" ref="L65:P65" si="51">(L10/L6)</f>
        <v>0.33364544069258095</v>
      </c>
      <c r="M65" s="72">
        <f t="shared" si="51"/>
        <v>0.26993431771370147</v>
      </c>
      <c r="N65" s="72">
        <f t="shared" si="51"/>
        <v>0.27801490624943853</v>
      </c>
      <c r="O65" s="72">
        <f t="shared" si="51"/>
        <v>0.20824836426477622</v>
      </c>
      <c r="P65" s="72">
        <f t="shared" si="51"/>
        <v>0.24598393574297189</v>
      </c>
      <c r="Q65" s="72">
        <f t="shared" ref="Q65" si="52">(Q10/Q6)</f>
        <v>0.28117217116974291</v>
      </c>
    </row>
    <row r="66" spans="1:19" ht="15" customHeight="1">
      <c r="A66" s="70"/>
      <c r="B66" s="71"/>
      <c r="C66" s="71"/>
      <c r="D66" s="71"/>
      <c r="E66" s="71"/>
      <c r="F66" s="71"/>
      <c r="G66" s="71"/>
      <c r="H66" s="71"/>
      <c r="I66" s="71"/>
      <c r="J66" s="37" t="s">
        <v>106</v>
      </c>
      <c r="K66" s="72"/>
      <c r="L66" s="72">
        <f t="shared" ref="L66:P66" si="53">(L10-L30)/L6</f>
        <v>0.14623746149384065</v>
      </c>
      <c r="M66" s="72">
        <f t="shared" si="53"/>
        <v>0.26006465364372777</v>
      </c>
      <c r="N66" s="72">
        <f t="shared" si="53"/>
        <v>0.26884896767517563</v>
      </c>
      <c r="O66" s="72">
        <f t="shared" si="53"/>
        <v>0.12885250881234531</v>
      </c>
      <c r="P66" s="72">
        <f t="shared" si="53"/>
        <v>0.23694779116465864</v>
      </c>
      <c r="Q66" s="72">
        <f t="shared" ref="Q66" si="54">(Q10-Q30)/Q6</f>
        <v>0.27394744816762967</v>
      </c>
    </row>
    <row r="67" spans="1:19" ht="15" customHeight="1">
      <c r="A67" s="70"/>
      <c r="B67" s="71"/>
      <c r="C67" s="71"/>
      <c r="D67" s="71"/>
      <c r="E67" s="71"/>
      <c r="F67" s="71"/>
      <c r="G67" s="71"/>
      <c r="H67" s="71"/>
      <c r="I67" s="71"/>
      <c r="J67" s="37" t="s">
        <v>107</v>
      </c>
      <c r="K67" s="69"/>
      <c r="L67" s="69">
        <f t="shared" ref="L67:P67" si="55">(L59/L56)</f>
        <v>0</v>
      </c>
      <c r="M67" s="69">
        <f t="shared" si="55"/>
        <v>0</v>
      </c>
      <c r="N67" s="69">
        <f t="shared" si="55"/>
        <v>0</v>
      </c>
      <c r="O67" s="69">
        <f t="shared" si="55"/>
        <v>0</v>
      </c>
      <c r="P67" s="69">
        <f t="shared" si="55"/>
        <v>0</v>
      </c>
      <c r="Q67" s="69">
        <f t="shared" ref="Q67" si="56">(Q59/Q56)</f>
        <v>0</v>
      </c>
    </row>
    <row r="68" spans="1:19" ht="15" customHeight="1">
      <c r="A68" s="70"/>
      <c r="B68" s="73"/>
      <c r="C68" s="71"/>
      <c r="D68" s="74"/>
      <c r="E68" s="75"/>
      <c r="F68" s="75"/>
      <c r="G68" s="75"/>
      <c r="H68" s="75"/>
      <c r="I68" s="76"/>
      <c r="J68" s="37" t="s">
        <v>108</v>
      </c>
      <c r="K68" s="78"/>
      <c r="L68" s="78">
        <f>(AVERAGE(L29)/B6*365)</f>
        <v>116.39591157828461</v>
      </c>
      <c r="M68" s="78">
        <f t="shared" ref="M68:Q68" si="57">(AVERAGE(L29:M29)/C6*365)</f>
        <v>108.12743444853022</v>
      </c>
      <c r="N68" s="78">
        <f t="shared" si="57"/>
        <v>148.1405036331472</v>
      </c>
      <c r="O68" s="78">
        <f t="shared" si="57"/>
        <v>165.8054475906919</v>
      </c>
      <c r="P68" s="78">
        <f t="shared" si="57"/>
        <v>162.15474209650583</v>
      </c>
      <c r="Q68" s="78">
        <f t="shared" si="57"/>
        <v>138.30435046785757</v>
      </c>
    </row>
    <row r="69" spans="1:19" ht="15" customHeight="1">
      <c r="A69" s="70"/>
      <c r="B69" s="76"/>
      <c r="C69" s="71"/>
      <c r="D69" s="76"/>
      <c r="E69" s="75"/>
      <c r="F69" s="75"/>
      <c r="G69" s="75"/>
      <c r="H69" s="75"/>
      <c r="I69" s="76"/>
      <c r="J69" s="37" t="s">
        <v>109</v>
      </c>
      <c r="K69" s="78"/>
      <c r="L69" s="78">
        <f t="shared" ref="L69:Q69" si="58">AVERAGE(K39:L39)/(B10)*365</f>
        <v>115.57655341747234</v>
      </c>
      <c r="M69" s="78">
        <f t="shared" si="58"/>
        <v>118.20378174261245</v>
      </c>
      <c r="N69" s="78">
        <f t="shared" si="58"/>
        <v>260.45146036001807</v>
      </c>
      <c r="O69" s="78">
        <f t="shared" si="58"/>
        <v>222.99237608715882</v>
      </c>
      <c r="P69" s="78">
        <f t="shared" si="58"/>
        <v>165.52325581395348</v>
      </c>
      <c r="Q69" s="78">
        <f t="shared" si="58"/>
        <v>166.39997122657019</v>
      </c>
    </row>
    <row r="70" spans="1:19" ht="15" customHeight="1">
      <c r="A70" s="70"/>
      <c r="B70" s="79"/>
      <c r="C70" s="71"/>
      <c r="D70" s="79"/>
      <c r="E70" s="79"/>
      <c r="F70" s="79"/>
      <c r="G70" s="79"/>
      <c r="H70" s="79"/>
      <c r="I70" s="79"/>
      <c r="J70" s="37" t="s">
        <v>110</v>
      </c>
      <c r="K70" s="78"/>
      <c r="L70" s="78">
        <f t="shared" ref="L70:Q70" si="59">(AVERAGE(K28:L28)/(B10+B13+B11)*365)</f>
        <v>100.03032508574969</v>
      </c>
      <c r="M70" s="78">
        <f t="shared" si="59"/>
        <v>108.3861350067028</v>
      </c>
      <c r="N70" s="78">
        <f t="shared" si="59"/>
        <v>197.10105037841714</v>
      </c>
      <c r="O70" s="78">
        <f t="shared" si="59"/>
        <v>229.66225321868788</v>
      </c>
      <c r="P70" s="78">
        <f t="shared" si="59"/>
        <v>241.81595800578035</v>
      </c>
      <c r="Q70" s="78">
        <f t="shared" si="59"/>
        <v>218.77498991761249</v>
      </c>
      <c r="S70" s="83" t="s">
        <v>116</v>
      </c>
    </row>
    <row r="71" spans="1:19" ht="15" customHeight="1">
      <c r="A71" s="70"/>
      <c r="B71" s="80"/>
      <c r="C71" s="71"/>
      <c r="D71" s="80"/>
      <c r="E71" s="80"/>
      <c r="F71" s="80"/>
      <c r="G71" s="80"/>
      <c r="H71" s="80"/>
      <c r="I71" s="80"/>
      <c r="J71" s="37" t="s">
        <v>111</v>
      </c>
      <c r="K71" s="78"/>
      <c r="L71" s="78">
        <f t="shared" ref="L71:P71" si="60">(L70+L68-L69)</f>
        <v>100.84968324656198</v>
      </c>
      <c r="M71" s="78">
        <f t="shared" si="60"/>
        <v>98.30978771262059</v>
      </c>
      <c r="N71" s="78">
        <f t="shared" si="60"/>
        <v>84.790093651546272</v>
      </c>
      <c r="O71" s="78">
        <f t="shared" si="60"/>
        <v>172.47532472222096</v>
      </c>
      <c r="P71" s="78">
        <f t="shared" si="60"/>
        <v>238.44744428833269</v>
      </c>
      <c r="Q71" s="78">
        <f t="shared" ref="Q71" si="61">(Q70+Q68-Q69)</f>
        <v>190.67936915889987</v>
      </c>
    </row>
    <row r="72" spans="1:19" ht="15" customHeight="1">
      <c r="A72" s="70"/>
      <c r="B72" s="81"/>
      <c r="C72" s="71"/>
      <c r="D72" s="76"/>
      <c r="E72" s="76"/>
      <c r="F72" s="76"/>
      <c r="G72" s="76"/>
      <c r="H72" s="76"/>
      <c r="I72" s="76"/>
      <c r="J72" s="37" t="s">
        <v>112</v>
      </c>
      <c r="K72" s="77"/>
      <c r="L72" s="77">
        <f>AVERAGE(L46)/B6*365</f>
        <v>81.351586554753197</v>
      </c>
      <c r="M72" s="77">
        <f t="shared" ref="M72:Q72" si="62">AVERAGE(L46:M46)/C6*365</f>
        <v>43.382041628636181</v>
      </c>
      <c r="N72" s="77">
        <f t="shared" si="62"/>
        <v>16.31147140941394</v>
      </c>
      <c r="O72" s="77">
        <f t="shared" si="62"/>
        <v>77.625993559944561</v>
      </c>
      <c r="P72" s="77">
        <f t="shared" si="62"/>
        <v>95.497604600665582</v>
      </c>
      <c r="Q72" s="94">
        <f t="shared" si="62"/>
        <v>66.422548304775788</v>
      </c>
    </row>
    <row r="73" spans="1:19" ht="15" customHeight="1">
      <c r="A73" s="70"/>
      <c r="B73" s="79"/>
      <c r="C73" s="71"/>
      <c r="D73" s="79"/>
      <c r="E73" s="79"/>
      <c r="F73" s="79"/>
      <c r="G73" s="79"/>
      <c r="H73" s="79"/>
      <c r="I73" s="79"/>
      <c r="J73" s="5" t="s">
        <v>113</v>
      </c>
      <c r="K73" s="68"/>
      <c r="L73" s="68">
        <f t="shared" ref="L73:Q73" si="63">B21/L10</f>
        <v>0.15166020709736847</v>
      </c>
      <c r="M73" s="68">
        <f t="shared" si="63"/>
        <v>0.16384505876724303</v>
      </c>
      <c r="N73" s="68">
        <f t="shared" si="63"/>
        <v>0.15772476308614536</v>
      </c>
      <c r="O73" s="68">
        <f t="shared" si="63"/>
        <v>0.17897494907407407</v>
      </c>
      <c r="P73" s="68">
        <f t="shared" si="63"/>
        <v>0.11836734693877551</v>
      </c>
      <c r="Q73" s="95">
        <f t="shared" si="63"/>
        <v>0.11669819064273224</v>
      </c>
    </row>
    <row r="74" spans="1:19" ht="15" customHeight="1">
      <c r="A74" s="70"/>
      <c r="B74" s="71"/>
      <c r="C74" s="71"/>
      <c r="D74" s="71"/>
      <c r="E74" s="71"/>
      <c r="F74" s="71"/>
      <c r="G74" s="71"/>
      <c r="H74" s="71"/>
      <c r="I74" s="71"/>
      <c r="J74" s="5" t="s">
        <v>114</v>
      </c>
      <c r="K74" s="82"/>
      <c r="L74" s="82">
        <f>B4/(L15/2)</f>
        <v>2.3109498131162112</v>
      </c>
      <c r="M74" s="82">
        <f t="shared" ref="M74:Q74" si="64">C4/(L15:M15/2)</f>
        <v>1.9791769930378806</v>
      </c>
      <c r="N74" s="82">
        <f t="shared" si="64"/>
        <v>1.3415300664100274</v>
      </c>
      <c r="O74" s="82">
        <f t="shared" si="64"/>
        <v>1.2750082961617417</v>
      </c>
      <c r="P74" s="82">
        <f t="shared" si="64"/>
        <v>1.6433470507544581</v>
      </c>
      <c r="Q74" s="96">
        <f t="shared" si="64"/>
        <v>2.336938755205594</v>
      </c>
    </row>
    <row r="75" spans="1:19" ht="15.75" customHeight="1"/>
    <row r="76" spans="1:19" ht="15.75" customHeight="1"/>
    <row r="77" spans="1:19" ht="15.75" customHeight="1"/>
    <row r="78" spans="1:19" ht="15.75" customHeight="1"/>
    <row r="79" spans="1:19" ht="15.75" customHeight="1"/>
    <row r="80" spans="1:19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Q1"/>
    <mergeCell ref="A2:D2"/>
    <mergeCell ref="J2:Q2"/>
    <mergeCell ref="A50:E54"/>
    <mergeCell ref="F50:F54"/>
  </mergeCells>
  <pageMargins left="0.7" right="0.7" top="0.75" bottom="0.75" header="0" footer="0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Sintercom FY23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Smriti Agarwal</dc:creator>
  <cp:lastModifiedBy>v15</cp:lastModifiedBy>
  <dcterms:created xsi:type="dcterms:W3CDTF">2021-11-17T06:54:53Z</dcterms:created>
  <dcterms:modified xsi:type="dcterms:W3CDTF">2023-06-13T10:30:54Z</dcterms:modified>
</cp:coreProperties>
</file>