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ownloads\"/>
    </mc:Choice>
  </mc:AlternateContent>
  <xr:revisionPtr revIDLastSave="0" documentId="8_{011AF3AC-5DEA-40A4-AA43-39FA8401E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luding Other Income" sheetId="4" r:id="rId1"/>
    <sheet name="Working" sheetId="6" state="hidden" r:id="rId2"/>
  </sheets>
  <definedNames>
    <definedName name="_xlnm.Print_Area" localSheetId="0">'Including Other Income'!$A$1:$U$67</definedName>
  </definedNames>
  <calcPr calcId="181029"/>
</workbook>
</file>

<file path=xl/calcChain.xml><?xml version="1.0" encoding="utf-8"?>
<calcChain xmlns="http://schemas.openxmlformats.org/spreadsheetml/2006/main">
  <c r="U65" i="4" l="1"/>
  <c r="U64" i="4"/>
  <c r="U63" i="4"/>
  <c r="U62" i="4"/>
  <c r="U61" i="4"/>
  <c r="U60" i="4"/>
  <c r="U59" i="4"/>
  <c r="U58" i="4"/>
  <c r="U57" i="4"/>
  <c r="U56" i="4"/>
  <c r="U55" i="4"/>
  <c r="U21" i="4"/>
  <c r="J35" i="4" l="1"/>
  <c r="J34" i="4"/>
  <c r="J32" i="4"/>
  <c r="J18" i="4"/>
  <c r="J8" i="4"/>
  <c r="J7" i="4"/>
  <c r="G48" i="4"/>
  <c r="G50" i="4" s="1"/>
  <c r="H48" i="4"/>
  <c r="H50" i="4" s="1"/>
  <c r="I48" i="4"/>
  <c r="I50" i="4" s="1"/>
  <c r="J48" i="4"/>
  <c r="J50" i="4" s="1"/>
  <c r="F48" i="4"/>
  <c r="F50" i="4" s="1"/>
  <c r="U49" i="4" l="1"/>
  <c r="J9" i="4" l="1"/>
  <c r="J54" i="4" l="1"/>
  <c r="J44" i="4" l="1"/>
  <c r="J45" i="4" s="1"/>
  <c r="U32" i="4"/>
  <c r="U13" i="4"/>
  <c r="U10" i="4"/>
  <c r="U6" i="4"/>
  <c r="Q32" i="4"/>
  <c r="F24" i="4"/>
  <c r="U11" i="4" l="1"/>
  <c r="U45" i="4"/>
  <c r="U44" i="4"/>
  <c r="U39" i="4"/>
  <c r="S18" i="4"/>
  <c r="S17" i="4"/>
  <c r="S14" i="4"/>
  <c r="T14" i="4"/>
  <c r="T20" i="4"/>
  <c r="S20" i="4"/>
  <c r="R20" i="4"/>
  <c r="Q20" i="4"/>
  <c r="T19" i="4"/>
  <c r="R19" i="4"/>
  <c r="Q19" i="4"/>
  <c r="T18" i="4"/>
  <c r="R18" i="4"/>
  <c r="Q18" i="4"/>
  <c r="T17" i="4"/>
  <c r="R17" i="4"/>
  <c r="Q17" i="4"/>
  <c r="T16" i="4"/>
  <c r="S16" i="4"/>
  <c r="R16" i="4"/>
  <c r="Q16" i="4"/>
  <c r="T15" i="4"/>
  <c r="S15" i="4"/>
  <c r="R15" i="4"/>
  <c r="R14" i="4"/>
  <c r="Q14" i="4"/>
  <c r="S13" i="4" l="1"/>
  <c r="Q13" i="4"/>
  <c r="R13" i="4"/>
  <c r="T13" i="4"/>
  <c r="Q49" i="4"/>
  <c r="Q52" i="4" s="1"/>
  <c r="R49" i="4"/>
  <c r="R52" i="4" s="1"/>
  <c r="S49" i="4"/>
  <c r="T49" i="4"/>
  <c r="T52" i="4" s="1"/>
  <c r="U52" i="4"/>
  <c r="T62" i="4"/>
  <c r="S62" i="4"/>
  <c r="R62" i="4"/>
  <c r="T61" i="4"/>
  <c r="S61" i="4"/>
  <c r="R61" i="4"/>
  <c r="Q61" i="4"/>
  <c r="T59" i="4"/>
  <c r="S59" i="4"/>
  <c r="R59" i="4"/>
  <c r="Q59" i="4"/>
  <c r="S52" i="4"/>
  <c r="J6" i="4"/>
  <c r="J16" i="4" l="1"/>
  <c r="J19" i="4" s="1"/>
  <c r="F40" i="4"/>
  <c r="J23" i="4" l="1"/>
  <c r="J26" i="4" s="1"/>
  <c r="J27" i="4" s="1"/>
  <c r="J30" i="4" l="1"/>
  <c r="J25" i="4"/>
  <c r="I9" i="4" l="1"/>
  <c r="I34" i="4" l="1"/>
  <c r="U50" i="4" l="1"/>
  <c r="U53" i="4" s="1"/>
  <c r="J55" i="4"/>
  <c r="J57" i="4" s="1"/>
  <c r="U54" i="4" s="1"/>
  <c r="K15" i="6" l="1"/>
  <c r="K4" i="6"/>
  <c r="D7" i="6"/>
  <c r="I44" i="4" l="1"/>
  <c r="H44" i="4"/>
  <c r="I54" i="4" l="1"/>
  <c r="I56" i="4"/>
  <c r="T6" i="4" l="1"/>
  <c r="T50" i="4" s="1"/>
  <c r="T53" i="4" s="1"/>
  <c r="T10" i="4"/>
  <c r="T21" i="4"/>
  <c r="T32" i="4"/>
  <c r="T39" i="4" l="1"/>
  <c r="T44" i="4"/>
  <c r="T45" i="4"/>
  <c r="I55" i="4"/>
  <c r="T65" i="4"/>
  <c r="T58" i="4"/>
  <c r="T57" i="4"/>
  <c r="I57" i="4"/>
  <c r="T11" i="4"/>
  <c r="E44" i="4" l="1"/>
  <c r="I35" i="4" l="1"/>
  <c r="I6" i="4"/>
  <c r="I16" i="4" s="1"/>
  <c r="J17" i="4" s="1"/>
  <c r="T60" i="4" l="1"/>
  <c r="T63" i="4" s="1"/>
  <c r="I23" i="4" l="1"/>
  <c r="I26" i="4" s="1"/>
  <c r="T55" i="4" s="1"/>
  <c r="T56" i="4"/>
  <c r="T54" i="4"/>
  <c r="I19" i="4"/>
  <c r="I27" i="4" l="1"/>
  <c r="I30" i="4"/>
  <c r="J31" i="4" s="1"/>
  <c r="I25" i="4"/>
  <c r="M46" i="6" l="1"/>
  <c r="L46" i="6"/>
  <c r="K46" i="6"/>
  <c r="J46" i="6"/>
  <c r="I46" i="6"/>
  <c r="M45" i="6"/>
  <c r="L45" i="6"/>
  <c r="K45" i="6"/>
  <c r="J45" i="6"/>
  <c r="I45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3" i="6"/>
  <c r="L33" i="6"/>
  <c r="K33" i="6"/>
  <c r="J33" i="6"/>
  <c r="I33" i="6"/>
  <c r="M29" i="6"/>
  <c r="M31" i="6" s="1"/>
  <c r="L29" i="6"/>
  <c r="L31" i="6" s="1"/>
  <c r="K29" i="6"/>
  <c r="K31" i="6" s="1"/>
  <c r="J29" i="6"/>
  <c r="J31" i="6" s="1"/>
  <c r="I29" i="6"/>
  <c r="I31" i="6" s="1"/>
  <c r="M28" i="6"/>
  <c r="M30" i="6" s="1"/>
  <c r="L28" i="6"/>
  <c r="L30" i="6" s="1"/>
  <c r="K28" i="6"/>
  <c r="K30" i="6" s="1"/>
  <c r="J28" i="6"/>
  <c r="J30" i="6" s="1"/>
  <c r="I28" i="6"/>
  <c r="I30" i="6" s="1"/>
  <c r="M25" i="6"/>
  <c r="L25" i="6"/>
  <c r="K25" i="6"/>
  <c r="J25" i="6"/>
  <c r="I25" i="6"/>
  <c r="M23" i="6"/>
  <c r="L23" i="6"/>
  <c r="K23" i="6"/>
  <c r="J23" i="6"/>
  <c r="I23" i="6"/>
  <c r="F25" i="6"/>
  <c r="E25" i="6"/>
  <c r="D25" i="6"/>
  <c r="C25" i="6"/>
  <c r="B25" i="6"/>
  <c r="M18" i="6"/>
  <c r="M43" i="6" s="1"/>
  <c r="L18" i="6"/>
  <c r="L43" i="6" s="1"/>
  <c r="K18" i="6"/>
  <c r="K43" i="6" s="1"/>
  <c r="J18" i="6"/>
  <c r="J43" i="6" s="1"/>
  <c r="I18" i="6"/>
  <c r="I43" i="6" s="1"/>
  <c r="F11" i="6"/>
  <c r="E11" i="6"/>
  <c r="D11" i="6"/>
  <c r="C11" i="6"/>
  <c r="B11" i="6"/>
  <c r="F10" i="6"/>
  <c r="E10" i="6"/>
  <c r="D10" i="6"/>
  <c r="C10" i="6"/>
  <c r="B10" i="6"/>
  <c r="M7" i="6"/>
  <c r="M34" i="6" s="1"/>
  <c r="L7" i="6"/>
  <c r="L34" i="6" s="1"/>
  <c r="K7" i="6"/>
  <c r="K34" i="6" s="1"/>
  <c r="J7" i="6"/>
  <c r="J34" i="6" s="1"/>
  <c r="I7" i="6"/>
  <c r="I34" i="6" s="1"/>
  <c r="M6" i="6"/>
  <c r="M24" i="6" s="1"/>
  <c r="L6" i="6"/>
  <c r="L24" i="6" s="1"/>
  <c r="K6" i="6"/>
  <c r="K44" i="6" s="1"/>
  <c r="J6" i="6"/>
  <c r="J36" i="6" s="1"/>
  <c r="I6" i="6"/>
  <c r="I24" i="6" s="1"/>
  <c r="F5" i="6"/>
  <c r="E5" i="6"/>
  <c r="D5" i="6"/>
  <c r="C5" i="6"/>
  <c r="B5" i="6"/>
  <c r="L26" i="6" l="1"/>
  <c r="I42" i="6"/>
  <c r="I26" i="6"/>
  <c r="I32" i="6" s="1"/>
  <c r="L35" i="6"/>
  <c r="L44" i="6"/>
  <c r="M26" i="6"/>
  <c r="M32" i="6" s="1"/>
  <c r="K36" i="6"/>
  <c r="F12" i="6"/>
  <c r="E12" i="6"/>
  <c r="L32" i="6"/>
  <c r="D12" i="6"/>
  <c r="B12" i="6"/>
  <c r="K42" i="6"/>
  <c r="L42" i="6"/>
  <c r="M42" i="6"/>
  <c r="C12" i="6"/>
  <c r="J42" i="6"/>
  <c r="K24" i="6"/>
  <c r="K26" i="6" s="1"/>
  <c r="K32" i="6" s="1"/>
  <c r="I35" i="6"/>
  <c r="M35" i="6"/>
  <c r="L36" i="6"/>
  <c r="I44" i="6"/>
  <c r="M44" i="6"/>
  <c r="J24" i="6"/>
  <c r="J26" i="6" s="1"/>
  <c r="J32" i="6" s="1"/>
  <c r="J35" i="6"/>
  <c r="I36" i="6"/>
  <c r="M36" i="6"/>
  <c r="J44" i="6"/>
  <c r="K35" i="6"/>
  <c r="G35" i="4" l="1"/>
  <c r="H35" i="4"/>
  <c r="G44" i="4"/>
  <c r="P61" i="4"/>
  <c r="O61" i="4"/>
  <c r="D56" i="4"/>
  <c r="E56" i="4"/>
  <c r="H54" i="4"/>
  <c r="O49" i="4"/>
  <c r="O52" i="4" s="1"/>
  <c r="P49" i="4"/>
  <c r="P52" i="4" s="1"/>
  <c r="S21" i="4"/>
  <c r="S6" i="4"/>
  <c r="S50" i="4" s="1"/>
  <c r="S53" i="4" s="1"/>
  <c r="H34" i="4"/>
  <c r="R6" i="4" l="1"/>
  <c r="R50" i="4" s="1"/>
  <c r="R53" i="4" s="1"/>
  <c r="O32" i="4" l="1"/>
  <c r="P32" i="4"/>
  <c r="R32" i="4"/>
  <c r="S32" i="4"/>
  <c r="S39" i="4" s="1"/>
  <c r="O10" i="4"/>
  <c r="P10" i="4"/>
  <c r="Q10" i="4"/>
  <c r="R10" i="4"/>
  <c r="S10" i="4"/>
  <c r="O6" i="4"/>
  <c r="P6" i="4"/>
  <c r="P50" i="4" s="1"/>
  <c r="P53" i="4" s="1"/>
  <c r="Q6" i="4"/>
  <c r="Q50" i="4" s="1"/>
  <c r="Q53" i="4" s="1"/>
  <c r="C56" i="4"/>
  <c r="C54" i="4"/>
  <c r="D54" i="4"/>
  <c r="E54" i="4"/>
  <c r="F54" i="4"/>
  <c r="G54" i="4"/>
  <c r="C44" i="4"/>
  <c r="C45" i="4" s="1"/>
  <c r="D44" i="4"/>
  <c r="D45" i="4" s="1"/>
  <c r="E45" i="4"/>
  <c r="F44" i="4"/>
  <c r="C34" i="4"/>
  <c r="D34" i="4"/>
  <c r="E34" i="4"/>
  <c r="F34" i="4"/>
  <c r="D9" i="4"/>
  <c r="E9" i="4"/>
  <c r="F9" i="4"/>
  <c r="G9" i="4"/>
  <c r="H9" i="4"/>
  <c r="D6" i="4"/>
  <c r="E6" i="4"/>
  <c r="F6" i="4"/>
  <c r="G6" i="4"/>
  <c r="H6" i="4"/>
  <c r="Q45" i="4" l="1"/>
  <c r="R60" i="4"/>
  <c r="R63" i="4" s="1"/>
  <c r="S11" i="4"/>
  <c r="S65" i="4"/>
  <c r="S58" i="4"/>
  <c r="S57" i="4"/>
  <c r="Q65" i="4"/>
  <c r="Q58" i="4"/>
  <c r="Q57" i="4"/>
  <c r="H16" i="4"/>
  <c r="I8" i="4"/>
  <c r="F7" i="4"/>
  <c r="Q60" i="4"/>
  <c r="R65" i="4"/>
  <c r="R58" i="4"/>
  <c r="R57" i="4"/>
  <c r="S60" i="4"/>
  <c r="S63" i="4" s="1"/>
  <c r="T64" i="4"/>
  <c r="S45" i="4"/>
  <c r="F45" i="4"/>
  <c r="G40" i="4" s="1"/>
  <c r="I7" i="4"/>
  <c r="G16" i="4"/>
  <c r="F55" i="4"/>
  <c r="P60" i="4"/>
  <c r="P65" i="4"/>
  <c r="P58" i="4"/>
  <c r="E55" i="4"/>
  <c r="D55" i="4"/>
  <c r="O65" i="4"/>
  <c r="O58" i="4"/>
  <c r="H8" i="4"/>
  <c r="O60" i="4"/>
  <c r="H55" i="4"/>
  <c r="G8" i="4"/>
  <c r="G55" i="4"/>
  <c r="R11" i="4"/>
  <c r="E16" i="4"/>
  <c r="P57" i="4"/>
  <c r="H7" i="4"/>
  <c r="E7" i="4"/>
  <c r="F16" i="4"/>
  <c r="D16" i="4"/>
  <c r="S56" i="4" l="1"/>
  <c r="R56" i="4"/>
  <c r="H17" i="4"/>
  <c r="I17" i="4"/>
  <c r="I18" i="4"/>
  <c r="G23" i="4"/>
  <c r="H18" i="4"/>
  <c r="G19" i="4"/>
  <c r="G18" i="4"/>
  <c r="F23" i="4"/>
  <c r="F26" i="4" s="1"/>
  <c r="Q55" i="4" s="1"/>
  <c r="F19" i="4"/>
  <c r="F17" i="4"/>
  <c r="D23" i="4"/>
  <c r="D19" i="4"/>
  <c r="E23" i="4"/>
  <c r="E19" i="4"/>
  <c r="E17" i="4"/>
  <c r="H23" i="4"/>
  <c r="G25" i="4" l="1"/>
  <c r="G26" i="4"/>
  <c r="R55" i="4" s="1"/>
  <c r="H25" i="4"/>
  <c r="H26" i="4"/>
  <c r="S55" i="4" s="1"/>
  <c r="D26" i="4"/>
  <c r="O55" i="4" s="1"/>
  <c r="D25" i="4"/>
  <c r="E26" i="4"/>
  <c r="P55" i="4" s="1"/>
  <c r="E25" i="4"/>
  <c r="F25" i="4"/>
  <c r="G27" i="4" l="1"/>
  <c r="H30" i="4"/>
  <c r="G30" i="4"/>
  <c r="H27" i="4"/>
  <c r="F27" i="4"/>
  <c r="F30" i="4"/>
  <c r="I32" i="4" s="1"/>
  <c r="E30" i="4"/>
  <c r="E27" i="4"/>
  <c r="D30" i="4"/>
  <c r="D27" i="4"/>
  <c r="P22" i="4"/>
  <c r="Q62" i="4" s="1"/>
  <c r="Q63" i="4" s="1"/>
  <c r="O22" i="4"/>
  <c r="I31" i="4" l="1"/>
  <c r="G32" i="4"/>
  <c r="H31" i="4"/>
  <c r="O62" i="4"/>
  <c r="O63" i="4" s="1"/>
  <c r="P62" i="4"/>
  <c r="P63" i="4" s="1"/>
  <c r="E31" i="4"/>
  <c r="O21" i="4"/>
  <c r="O39" i="4" s="1"/>
  <c r="P21" i="4"/>
  <c r="P39" i="4" s="1"/>
  <c r="F31" i="4"/>
  <c r="H32" i="4"/>
  <c r="P64" i="4" l="1"/>
  <c r="O44" i="4"/>
  <c r="F56" i="4" l="1"/>
  <c r="G56" i="4"/>
  <c r="R21" i="4"/>
  <c r="Q21" i="4"/>
  <c r="Q39" i="4" s="1"/>
  <c r="N62" i="4"/>
  <c r="N32" i="4"/>
  <c r="N21" i="4"/>
  <c r="N10" i="4"/>
  <c r="N6" i="4"/>
  <c r="N11" i="4" s="1"/>
  <c r="P11" i="4"/>
  <c r="P56" i="4" s="1"/>
  <c r="Q11" i="4"/>
  <c r="Q56" i="4" s="1"/>
  <c r="C9" i="4"/>
  <c r="C6" i="4"/>
  <c r="R39" i="4" l="1"/>
  <c r="S64" i="4" s="1"/>
  <c r="Q44" i="4"/>
  <c r="Q64" i="4"/>
  <c r="N39" i="4"/>
  <c r="O64" i="4" s="1"/>
  <c r="D7" i="4"/>
  <c r="C55" i="4"/>
  <c r="N65" i="4"/>
  <c r="O45" i="4"/>
  <c r="O11" i="4"/>
  <c r="O56" i="4" s="1"/>
  <c r="C16" i="4"/>
  <c r="C23" i="4" s="1"/>
  <c r="P45" i="4"/>
  <c r="R45" i="4"/>
  <c r="N45" i="4"/>
  <c r="G7" i="4"/>
  <c r="M21" i="4"/>
  <c r="R64" i="4" l="1"/>
  <c r="C19" i="4"/>
  <c r="D17" i="4"/>
  <c r="H19" i="4"/>
  <c r="G17" i="4"/>
  <c r="C26" i="4"/>
  <c r="C25" i="4"/>
  <c r="N60" i="4"/>
  <c r="B6" i="4"/>
  <c r="C7" i="4" s="1"/>
  <c r="B56" i="4"/>
  <c r="N61" i="4"/>
  <c r="B54" i="4"/>
  <c r="P59" i="4"/>
  <c r="O59" i="4"/>
  <c r="N59" i="4"/>
  <c r="M59" i="4"/>
  <c r="N52" i="4"/>
  <c r="M49" i="4"/>
  <c r="M52" i="4" s="1"/>
  <c r="G45" i="4"/>
  <c r="H40" i="4" s="1"/>
  <c r="H45" i="4" s="1"/>
  <c r="I45" i="4" s="1"/>
  <c r="B44" i="4"/>
  <c r="B45" i="4" s="1"/>
  <c r="G34" i="4"/>
  <c r="M32" i="4"/>
  <c r="H56" i="4"/>
  <c r="M44" i="4"/>
  <c r="M10" i="4"/>
  <c r="B9" i="4"/>
  <c r="O50" i="4"/>
  <c r="O53" i="4" s="1"/>
  <c r="N50" i="4"/>
  <c r="N53" i="4" s="1"/>
  <c r="M6" i="4"/>
  <c r="M11" i="4" s="1"/>
  <c r="M45" i="4" l="1"/>
  <c r="B16" i="4"/>
  <c r="C30" i="4"/>
  <c r="N55" i="4"/>
  <c r="C57" i="4"/>
  <c r="N54" i="4" s="1"/>
  <c r="G57" i="4"/>
  <c r="R54" i="4" s="1"/>
  <c r="M39" i="4"/>
  <c r="M50" i="4"/>
  <c r="M53" i="4" s="1"/>
  <c r="N63" i="4"/>
  <c r="B55" i="4"/>
  <c r="B57" i="4" s="1"/>
  <c r="M57" i="4"/>
  <c r="O57" i="4"/>
  <c r="N44" i="4"/>
  <c r="P44" i="4"/>
  <c r="R44" i="4"/>
  <c r="M58" i="4"/>
  <c r="N58" i="4"/>
  <c r="N57" i="4"/>
  <c r="M12" i="4" l="1"/>
  <c r="D31" i="4"/>
  <c r="B23" i="4"/>
  <c r="C17" i="4"/>
  <c r="F57" i="4"/>
  <c r="Q54" i="4" s="1"/>
  <c r="M54" i="4"/>
  <c r="B19" i="4"/>
  <c r="E57" i="4"/>
  <c r="P54" i="4" s="1"/>
  <c r="D57" i="4"/>
  <c r="O54" i="4" s="1"/>
  <c r="H57" i="4"/>
  <c r="S54" i="4" s="1"/>
  <c r="N64" i="4"/>
  <c r="S44" i="4"/>
  <c r="N56" i="4"/>
  <c r="B26" i="4" l="1"/>
  <c r="B27" i="4" s="1"/>
  <c r="B48" i="4"/>
  <c r="M56" i="4"/>
  <c r="B25" i="4"/>
  <c r="D48" i="4"/>
  <c r="D50" i="4" s="1"/>
  <c r="E48" i="4"/>
  <c r="E50" i="4" s="1"/>
  <c r="C48" i="4"/>
  <c r="C50" i="4" s="1"/>
  <c r="B30" i="4" l="1"/>
  <c r="C31" i="4" s="1"/>
  <c r="M55" i="4"/>
  <c r="C27" i="4"/>
  <c r="G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E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T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Have to add borrowings otherwise net current assets will be wrong
</t>
        </r>
      </text>
    </comment>
    <comment ref="U3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Have to add borrowings otherwise net current assets will be wrong
</t>
        </r>
      </text>
    </comment>
    <comment ref="B45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5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5" authorId="1" shapeId="0" xr:uid="{00000000-0006-0000-0000-000006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5" authorId="1" shapeId="0" xr:uid="{00000000-0006-0000-0000-000007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Non CL+ CL - Long Term Debt - Current Tax Liab</t>
        </r>
      </text>
    </comment>
  </commentList>
</comments>
</file>

<file path=xl/sharedStrings.xml><?xml version="1.0" encoding="utf-8"?>
<sst xmlns="http://schemas.openxmlformats.org/spreadsheetml/2006/main" count="252" uniqueCount="159">
  <si>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</si>
  <si>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</si>
  <si>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</si>
  <si>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</si>
  <si>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</si>
  <si>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</si>
  <si>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</si>
  <si>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</si>
  <si>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</si>
  <si>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</si>
  <si>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</si>
  <si>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</si>
  <si>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</si>
  <si>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</si>
  <si>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</si>
  <si>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</si>
  <si>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</si>
  <si>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</si>
  <si>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</si>
  <si>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</si>
  <si>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</si>
  <si>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</si>
  <si>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</si>
  <si>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</si>
  <si>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</si>
  <si>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</si>
  <si>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</si>
  <si>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</si>
  <si>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</si>
  <si>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</si>
  <si>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</si>
  <si>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</si>
  <si>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</si>
  <si>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</si>
  <si>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</si>
  <si>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</si>
  <si>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</si>
  <si>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Fixed Assets</t>
  </si>
  <si>
    <t>Inventories</t>
  </si>
  <si>
    <t>Cash &amp; Bank Balances</t>
  </si>
  <si>
    <t>CURRENT LIABILITIES &amp; PROVISIONS</t>
  </si>
  <si>
    <t>NET CURRENT ASSETS</t>
  </si>
  <si>
    <t>Deferred Tax Liability</t>
  </si>
  <si>
    <t>Key ratios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</si>
  <si>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</si>
  <si>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</si>
  <si>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</si>
  <si>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</si>
  <si>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</si>
  <si>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</si>
  <si>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</si>
  <si>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</si>
  <si>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</si>
  <si>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</si>
  <si>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</si>
  <si>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</si>
  <si>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</si>
  <si>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</si>
  <si>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</si>
  <si>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</si>
  <si>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</si>
  <si>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</si>
  <si>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</si>
  <si>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</si>
  <si>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</si>
  <si>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</si>
  <si>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</si>
  <si>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</si>
  <si>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</si>
  <si>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</si>
  <si>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</si>
  <si>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</si>
  <si>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</si>
  <si>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</si>
  <si>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</si>
  <si>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</si>
  <si>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</si>
  <si>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</si>
  <si>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</si>
  <si>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Interest Cost</t>
  </si>
  <si>
    <t>Gross Block</t>
  </si>
  <si>
    <t>TOTAL ASSETS</t>
  </si>
  <si>
    <t>TOTAL LIABILITIES</t>
  </si>
  <si>
    <t>Balance Sheet</t>
  </si>
  <si>
    <t>Income Statement</t>
  </si>
  <si>
    <t>Short term loans and provisions</t>
  </si>
  <si>
    <t>Other Bank balances</t>
  </si>
  <si>
    <t>cost of materials consumed</t>
  </si>
  <si>
    <t>Diluted EPS</t>
  </si>
  <si>
    <t>FY19</t>
  </si>
  <si>
    <t>CAGR (%) - 3 Years</t>
  </si>
  <si>
    <t>Other financial assets</t>
  </si>
  <si>
    <t>Assets classified as held for sale</t>
  </si>
  <si>
    <t>CAGR (%)- 3 Years</t>
  </si>
  <si>
    <t>Gokul Agro</t>
  </si>
  <si>
    <t>IFB Agro</t>
  </si>
  <si>
    <t>Globus Spirits</t>
  </si>
  <si>
    <t>BCL Industries</t>
  </si>
  <si>
    <t xml:space="preserve">BCL </t>
  </si>
  <si>
    <t xml:space="preserve">Ruchi Soya </t>
  </si>
  <si>
    <t>Net Worth</t>
  </si>
  <si>
    <t>CAGR 3 YRS</t>
  </si>
  <si>
    <t>Purchase</t>
  </si>
  <si>
    <t>Change in Inventories</t>
  </si>
  <si>
    <t>Non Current Asset</t>
  </si>
  <si>
    <t>Current Asset</t>
  </si>
  <si>
    <t>Inventories 2019</t>
  </si>
  <si>
    <t>Sundry Debtors 2019</t>
  </si>
  <si>
    <t>Current Liabilites</t>
  </si>
  <si>
    <t>Trade Payables 2019</t>
  </si>
  <si>
    <t>DPS</t>
  </si>
  <si>
    <t>Asset T/O ratio</t>
  </si>
  <si>
    <t>Inerest Coverage Ratio</t>
  </si>
  <si>
    <t>FY20</t>
  </si>
  <si>
    <t>Other long term financial liabilities</t>
  </si>
  <si>
    <t>Y/E Mar (Rs. mn)</t>
  </si>
  <si>
    <t>Change in inventories of finished goods wip and stock in trade</t>
  </si>
  <si>
    <t>CURRENT ASSETS LOANS &amp; ADVANCES</t>
  </si>
  <si>
    <t xml:space="preserve">Y/E Mar 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</si>
  <si>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</si>
  <si>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</si>
  <si>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</si>
  <si>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</si>
  <si>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</si>
  <si>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</si>
  <si>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</si>
  <si>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</si>
  <si>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</si>
  <si>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</si>
  <si>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</si>
  <si>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Peer Analysis FY20</t>
  </si>
  <si>
    <t>Income Statement (INR Mn)</t>
  </si>
  <si>
    <t>EBITDA 2020</t>
  </si>
  <si>
    <t>EBITDA 2017</t>
  </si>
  <si>
    <t>Balance Sheet (INR Mn)</t>
  </si>
  <si>
    <t>Inventories 2020</t>
  </si>
  <si>
    <t>Sundry Debtors 2020</t>
  </si>
  <si>
    <t>Trade Payables 2020</t>
  </si>
  <si>
    <t>Excise Duty</t>
  </si>
  <si>
    <t>FY21</t>
  </si>
  <si>
    <t>-</t>
  </si>
  <si>
    <t>FY22</t>
  </si>
  <si>
    <t xml:space="preserve">Purchases of stock in trade </t>
  </si>
  <si>
    <t>Current Tax liabilities</t>
  </si>
  <si>
    <t>MAN Industries Ltd (Consolidated)</t>
  </si>
  <si>
    <t>Lease Liabilities</t>
  </si>
  <si>
    <t>Total Income</t>
  </si>
  <si>
    <t>Total Non-Current Assets</t>
  </si>
  <si>
    <t>Right of Use Assets</t>
  </si>
  <si>
    <t>Capital Work in Progress</t>
  </si>
  <si>
    <t xml:space="preserve">Investments </t>
  </si>
  <si>
    <t>Trade Receivables</t>
  </si>
  <si>
    <t>Other Financial Assets</t>
  </si>
  <si>
    <t>Other Non Current Assets</t>
  </si>
  <si>
    <t xml:space="preserve">Other non-current liabilities </t>
  </si>
  <si>
    <t>EPS(Q4)</t>
  </si>
  <si>
    <t>EBITDA(Q4)</t>
  </si>
  <si>
    <t>FY23</t>
  </si>
  <si>
    <t>Current tax asset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</si>
</sst>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3" fillId="0" borderId="0"/>
  </cellStyleXfs>
  <cellXfs count="20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4" fillId="3" borderId="1" xfId="0" applyFont="1" applyFill="1" applyBorder="1"/>
    <xf numFmtId="0" fontId="6" fillId="0" borderId="0" xfId="0" applyFont="1"/>
    <xf numFmtId="165" fontId="9" fillId="0" borderId="1" xfId="0" applyNumberFormat="1" applyFont="1" applyBorder="1"/>
    <xf numFmtId="1" fontId="1" fillId="0" borderId="0" xfId="0" applyNumberFormat="1" applyFont="1"/>
    <xf numFmtId="0" fontId="9" fillId="0" borderId="0" xfId="0" applyFont="1"/>
    <xf numFmtId="165" fontId="9" fillId="0" borderId="0" xfId="0" applyNumberFormat="1" applyFont="1"/>
    <xf numFmtId="0" fontId="9" fillId="0" borderId="1" xfId="0" applyFont="1" applyBorder="1"/>
    <xf numFmtId="0" fontId="3" fillId="4" borderId="1" xfId="0" applyFont="1" applyFill="1" applyBorder="1"/>
    <xf numFmtId="166" fontId="5" fillId="4" borderId="1" xfId="0" applyNumberFormat="1" applyFont="1" applyFill="1" applyBorder="1"/>
    <xf numFmtId="166" fontId="3" fillId="4" borderId="1" xfId="0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0" fontId="6" fillId="4" borderId="1" xfId="0" applyFont="1" applyFill="1" applyBorder="1"/>
    <xf numFmtId="166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5" fontId="1" fillId="4" borderId="1" xfId="0" applyNumberFormat="1" applyFont="1" applyFill="1" applyBorder="1"/>
    <xf numFmtId="10" fontId="9" fillId="4" borderId="1" xfId="1" applyNumberFormat="1" applyFont="1" applyFill="1" applyBorder="1"/>
    <xf numFmtId="166" fontId="6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9" fillId="0" borderId="1" xfId="2" applyFont="1" applyFill="1" applyBorder="1"/>
    <xf numFmtId="168" fontId="4" fillId="0" borderId="1" xfId="2" applyNumberFormat="1" applyFont="1" applyBorder="1"/>
    <xf numFmtId="168" fontId="11" fillId="0" borderId="1" xfId="2" applyNumberFormat="1" applyFont="1" applyFill="1" applyBorder="1"/>
    <xf numFmtId="168" fontId="1" fillId="0" borderId="1" xfId="2" applyNumberFormat="1" applyFont="1" applyBorder="1"/>
    <xf numFmtId="168" fontId="9" fillId="0" borderId="1" xfId="2" applyNumberFormat="1" applyFont="1" applyFill="1" applyBorder="1"/>
    <xf numFmtId="168" fontId="4" fillId="4" borderId="1" xfId="2" applyNumberFormat="1" applyFont="1" applyFill="1" applyBorder="1"/>
    <xf numFmtId="168" fontId="11" fillId="4" borderId="1" xfId="2" applyNumberFormat="1" applyFont="1" applyFill="1" applyBorder="1"/>
    <xf numFmtId="168" fontId="9" fillId="0" borderId="1" xfId="2" applyNumberFormat="1" applyFont="1" applyBorder="1"/>
    <xf numFmtId="43" fontId="4" fillId="0" borderId="1" xfId="2" applyFont="1" applyFill="1" applyBorder="1"/>
    <xf numFmtId="43" fontId="11" fillId="0" borderId="1" xfId="2" applyFont="1" applyFill="1" applyBorder="1"/>
    <xf numFmtId="10" fontId="1" fillId="4" borderId="1" xfId="0" applyNumberFormat="1" applyFont="1" applyFill="1" applyBorder="1"/>
    <xf numFmtId="168" fontId="4" fillId="0" borderId="1" xfId="2" applyNumberFormat="1" applyFont="1" applyFill="1" applyBorder="1"/>
    <xf numFmtId="43" fontId="1" fillId="0" borderId="1" xfId="2" applyFont="1" applyFill="1" applyBorder="1"/>
    <xf numFmtId="168" fontId="1" fillId="4" borderId="1" xfId="2" applyNumberFormat="1" applyFont="1" applyFill="1" applyBorder="1"/>
    <xf numFmtId="168" fontId="9" fillId="4" borderId="1" xfId="2" applyNumberFormat="1" applyFont="1" applyFill="1" applyBorder="1"/>
    <xf numFmtId="168" fontId="1" fillId="0" borderId="1" xfId="2" applyNumberFormat="1" applyFont="1" applyFill="1" applyBorder="1"/>
    <xf numFmtId="167" fontId="9" fillId="0" borderId="1" xfId="2" applyNumberFormat="1" applyFont="1" applyFill="1" applyBorder="1"/>
    <xf numFmtId="168" fontId="6" fillId="0" borderId="1" xfId="2" applyNumberFormat="1" applyFont="1" applyBorder="1"/>
    <xf numFmtId="10" fontId="9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9" fillId="4" borderId="1" xfId="0" applyNumberFormat="1" applyFont="1" applyFill="1" applyBorder="1"/>
    <xf numFmtId="1" fontId="9" fillId="5" borderId="1" xfId="0" applyNumberFormat="1" applyFont="1" applyFill="1" applyBorder="1"/>
    <xf numFmtId="0" fontId="4" fillId="0" borderId="1" xfId="0" applyFont="1" applyBorder="1" applyAlignment="1">
      <alignment horizontal="center"/>
    </xf>
    <xf numFmtId="168" fontId="12" fillId="5" borderId="1" xfId="2" applyNumberFormat="1" applyFont="1" applyFill="1" applyBorder="1" applyAlignment="1">
      <alignment vertical="center"/>
    </xf>
    <xf numFmtId="165" fontId="12" fillId="0" borderId="1" xfId="3" applyNumberFormat="1" applyFont="1" applyBorder="1" applyAlignment="1">
      <alignment vertical="center"/>
    </xf>
    <xf numFmtId="165" fontId="12" fillId="0" borderId="1" xfId="2" applyNumberFormat="1" applyFont="1" applyBorder="1" applyAlignment="1">
      <alignment vertical="center"/>
    </xf>
    <xf numFmtId="168" fontId="12" fillId="0" borderId="1" xfId="2" applyNumberFormat="1" applyFont="1" applyBorder="1" applyAlignment="1">
      <alignment vertical="center"/>
    </xf>
    <xf numFmtId="168" fontId="12" fillId="0" borderId="1" xfId="2" applyNumberFormat="1" applyFont="1" applyFill="1" applyBorder="1" applyAlignment="1">
      <alignment vertical="center"/>
    </xf>
    <xf numFmtId="165" fontId="9" fillId="0" borderId="1" xfId="3" applyNumberFormat="1" applyFont="1" applyBorder="1" applyAlignment="1">
      <alignment vertical="center"/>
    </xf>
    <xf numFmtId="165" fontId="9" fillId="0" borderId="1" xfId="2" applyNumberFormat="1" applyFont="1" applyBorder="1" applyAlignment="1">
      <alignment vertical="center"/>
    </xf>
    <xf numFmtId="165" fontId="12" fillId="0" borderId="1" xfId="2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168" fontId="9" fillId="0" borderId="1" xfId="2" applyNumberFormat="1" applyFont="1" applyBorder="1" applyAlignment="1">
      <alignment vertical="center"/>
    </xf>
    <xf numFmtId="168" fontId="9" fillId="0" borderId="1" xfId="2" applyNumberFormat="1" applyFont="1" applyBorder="1" applyAlignment="1">
      <alignment horizontal="center" vertical="center"/>
    </xf>
    <xf numFmtId="43" fontId="6" fillId="0" borderId="0" xfId="0" applyNumberFormat="1" applyFont="1"/>
    <xf numFmtId="168" fontId="9" fillId="0" borderId="1" xfId="2" applyNumberFormat="1" applyFont="1" applyFill="1" applyBorder="1" applyAlignment="1">
      <alignment vertical="center"/>
    </xf>
    <xf numFmtId="168" fontId="4" fillId="0" borderId="1" xfId="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5" fontId="9" fillId="0" borderId="1" xfId="4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6" fillId="4" borderId="1" xfId="0" applyNumberFormat="1" applyFont="1" applyFill="1" applyBorder="1"/>
    <xf numFmtId="0" fontId="14" fillId="6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68" fontId="6" fillId="0" borderId="1" xfId="2" applyNumberFormat="1" applyFont="1" applyFill="1" applyBorder="1"/>
    <xf numFmtId="168" fontId="9" fillId="0" borderId="2" xfId="2" applyNumberFormat="1" applyFont="1" applyFill="1" applyBorder="1"/>
    <xf numFmtId="167" fontId="17" fillId="6" borderId="1" xfId="2" applyNumberFormat="1" applyFont="1" applyFill="1" applyBorder="1" applyAlignment="1">
      <alignment horizontal="right" vertical="center" wrapText="1"/>
    </xf>
    <xf numFmtId="168" fontId="11" fillId="5" borderId="1" xfId="2" applyNumberFormat="1" applyFont="1" applyFill="1" applyBorder="1"/>
    <xf numFmtId="168" fontId="11" fillId="5" borderId="1" xfId="2" applyNumberFormat="1" applyFont="1" applyFill="1" applyBorder="1" applyAlignment="1">
      <alignment horizontal="right"/>
    </xf>
    <xf numFmtId="168" fontId="9" fillId="5" borderId="1" xfId="2" applyNumberFormat="1" applyFont="1" applyFill="1" applyBorder="1"/>
    <xf numFmtId="168" fontId="11" fillId="0" borderId="1" xfId="2" applyNumberFormat="1" applyFont="1" applyBorder="1" applyAlignment="1">
      <alignment horizontal="right"/>
    </xf>
    <xf numFmtId="168" fontId="11" fillId="0" borderId="1" xfId="2" applyNumberFormat="1" applyFont="1" applyBorder="1"/>
    <xf numFmtId="165" fontId="11" fillId="0" borderId="1" xfId="0" applyNumberFormat="1" applyFont="1" applyBorder="1"/>
    <xf numFmtId="165" fontId="11" fillId="0" borderId="1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right"/>
    </xf>
    <xf numFmtId="165" fontId="11" fillId="7" borderId="2" xfId="0" applyNumberFormat="1" applyFont="1" applyFill="1" applyBorder="1" applyAlignment="1">
      <alignment horizontal="center"/>
    </xf>
    <xf numFmtId="0" fontId="4" fillId="9" borderId="0" xfId="0" applyFont="1" applyFill="1"/>
    <xf numFmtId="0" fontId="19" fillId="0" borderId="0" xfId="0" applyFont="1"/>
    <xf numFmtId="0" fontId="19" fillId="0" borderId="1" xfId="0" applyFont="1" applyBorder="1"/>
    <xf numFmtId="0" fontId="19" fillId="4" borderId="1" xfId="0" applyFont="1" applyFill="1" applyBorder="1"/>
    <xf numFmtId="10" fontId="19" fillId="4" borderId="1" xfId="1" applyNumberFormat="1" applyFont="1" applyFill="1" applyBorder="1"/>
    <xf numFmtId="168" fontId="20" fillId="4" borderId="1" xfId="2" applyNumberFormat="1" applyFont="1" applyFill="1" applyBorder="1"/>
    <xf numFmtId="2" fontId="19" fillId="4" borderId="1" xfId="0" applyNumberFormat="1" applyFont="1" applyFill="1" applyBorder="1"/>
    <xf numFmtId="2" fontId="19" fillId="4" borderId="1" xfId="2" applyNumberFormat="1" applyFont="1" applyFill="1" applyBorder="1"/>
    <xf numFmtId="10" fontId="19" fillId="4" borderId="1" xfId="0" applyNumberFormat="1" applyFont="1" applyFill="1" applyBorder="1"/>
    <xf numFmtId="1" fontId="19" fillId="4" borderId="1" xfId="0" applyNumberFormat="1" applyFont="1" applyFill="1" applyBorder="1"/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horizontal="right"/>
    </xf>
    <xf numFmtId="10" fontId="19" fillId="4" borderId="1" xfId="1" applyNumberFormat="1" applyFont="1" applyFill="1" applyBorder="1" applyAlignment="1">
      <alignment horizontal="right"/>
    </xf>
    <xf numFmtId="10" fontId="19" fillId="0" borderId="1" xfId="1" applyNumberFormat="1" applyFont="1" applyBorder="1" applyAlignment="1">
      <alignment horizontal="right"/>
    </xf>
    <xf numFmtId="0" fontId="19" fillId="0" borderId="1" xfId="1" applyNumberFormat="1" applyFont="1" applyBorder="1" applyAlignment="1">
      <alignment horizontal="right"/>
    </xf>
    <xf numFmtId="0" fontId="19" fillId="4" borderId="1" xfId="0" applyFont="1" applyFill="1" applyBorder="1" applyAlignment="1">
      <alignment horizontal="right"/>
    </xf>
    <xf numFmtId="0" fontId="20" fillId="7" borderId="1" xfId="0" applyFont="1" applyFill="1" applyBorder="1" applyAlignment="1">
      <alignment horizontal="center"/>
    </xf>
    <xf numFmtId="0" fontId="20" fillId="7" borderId="0" xfId="0" applyFont="1" applyFill="1"/>
    <xf numFmtId="0" fontId="20" fillId="9" borderId="1" xfId="0" applyFont="1" applyFill="1" applyBorder="1"/>
    <xf numFmtId="0" fontId="20" fillId="9" borderId="1" xfId="0" applyFont="1" applyFill="1" applyBorder="1" applyAlignment="1">
      <alignment horizontal="center"/>
    </xf>
    <xf numFmtId="3" fontId="18" fillId="0" borderId="1" xfId="0" applyNumberFormat="1" applyFont="1" applyBorder="1"/>
    <xf numFmtId="3" fontId="18" fillId="6" borderId="1" xfId="0" applyNumberFormat="1" applyFont="1" applyFill="1" applyBorder="1" applyAlignment="1">
      <alignment horizontal="right" vertical="center" wrapText="1" indent="1"/>
    </xf>
    <xf numFmtId="43" fontId="19" fillId="5" borderId="1" xfId="2" applyFont="1" applyFill="1" applyBorder="1" applyAlignment="1">
      <alignment horizontal="right"/>
    </xf>
    <xf numFmtId="43" fontId="19" fillId="0" borderId="1" xfId="2" applyFont="1" applyFill="1" applyBorder="1" applyAlignment="1">
      <alignment horizontal="right"/>
    </xf>
    <xf numFmtId="43" fontId="19" fillId="0" borderId="1" xfId="2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0" fontId="19" fillId="10" borderId="1" xfId="0" applyFont="1" applyFill="1" applyBorder="1"/>
    <xf numFmtId="43" fontId="1" fillId="0" borderId="0" xfId="0" applyNumberFormat="1" applyFont="1"/>
    <xf numFmtId="0" fontId="11" fillId="7" borderId="2" xfId="0" applyFont="1" applyFill="1" applyBorder="1" applyAlignment="1">
      <alignment horizontal="center"/>
    </xf>
    <xf numFmtId="165" fontId="12" fillId="0" borderId="2" xfId="2" applyNumberFormat="1" applyFont="1" applyBorder="1" applyAlignment="1">
      <alignment vertical="center"/>
    </xf>
    <xf numFmtId="168" fontId="4" fillId="4" borderId="2" xfId="2" applyNumberFormat="1" applyFont="1" applyFill="1" applyBorder="1"/>
    <xf numFmtId="10" fontId="1" fillId="4" borderId="2" xfId="0" applyNumberFormat="1" applyFont="1" applyFill="1" applyBorder="1"/>
    <xf numFmtId="0" fontId="11" fillId="7" borderId="2" xfId="0" applyFont="1" applyFill="1" applyBorder="1" applyAlignment="1">
      <alignment horizontal="right"/>
    </xf>
    <xf numFmtId="165" fontId="11" fillId="0" borderId="2" xfId="0" applyNumberFormat="1" applyFont="1" applyBorder="1"/>
    <xf numFmtId="165" fontId="9" fillId="0" borderId="2" xfId="0" applyNumberFormat="1" applyFont="1" applyBorder="1"/>
    <xf numFmtId="168" fontId="4" fillId="0" borderId="2" xfId="2" applyNumberFormat="1" applyFont="1" applyBorder="1"/>
    <xf numFmtId="168" fontId="9" fillId="4" borderId="2" xfId="2" applyNumberFormat="1" applyFont="1" applyFill="1" applyBorder="1"/>
    <xf numFmtId="167" fontId="9" fillId="0" borderId="2" xfId="2" applyNumberFormat="1" applyFont="1" applyFill="1" applyBorder="1"/>
    <xf numFmtId="168" fontId="1" fillId="0" borderId="2" xfId="2" applyNumberFormat="1" applyFont="1" applyBorder="1"/>
    <xf numFmtId="168" fontId="1" fillId="0" borderId="2" xfId="2" applyNumberFormat="1" applyFont="1" applyFill="1" applyBorder="1"/>
    <xf numFmtId="43" fontId="4" fillId="0" borderId="2" xfId="2" applyFont="1" applyBorder="1"/>
    <xf numFmtId="43" fontId="1" fillId="4" borderId="2" xfId="2" applyFont="1" applyFill="1" applyBorder="1"/>
    <xf numFmtId="43" fontId="9" fillId="0" borderId="2" xfId="2" applyFont="1" applyFill="1" applyBorder="1"/>
    <xf numFmtId="2" fontId="1" fillId="4" borderId="2" xfId="0" applyNumberFormat="1" applyFont="1" applyFill="1" applyBorder="1"/>
    <xf numFmtId="10" fontId="1" fillId="4" borderId="2" xfId="1" applyNumberFormat="1" applyFont="1" applyFill="1" applyBorder="1"/>
    <xf numFmtId="1" fontId="1" fillId="4" borderId="2" xfId="0" applyNumberFormat="1" applyFont="1" applyFill="1" applyBorder="1"/>
    <xf numFmtId="1" fontId="9" fillId="4" borderId="2" xfId="0" applyNumberFormat="1" applyFont="1" applyFill="1" applyBorder="1"/>
    <xf numFmtId="10" fontId="9" fillId="4" borderId="2" xfId="1" applyNumberFormat="1" applyFont="1" applyFill="1" applyBorder="1"/>
    <xf numFmtId="0" fontId="1" fillId="0" borderId="1" xfId="0" applyFont="1" applyBorder="1" applyAlignment="1">
      <alignment horizontal="right"/>
    </xf>
    <xf numFmtId="168" fontId="1" fillId="0" borderId="0" xfId="0" applyNumberFormat="1" applyFont="1"/>
    <xf numFmtId="0" fontId="10" fillId="8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10" fontId="1" fillId="0" borderId="0" xfId="0" applyNumberFormat="1" applyFont="1"/>
    <xf numFmtId="164" fontId="1" fillId="0" borderId="0" xfId="0" applyNumberFormat="1" applyFont="1"/>
    <xf numFmtId="168" fontId="1" fillId="5" borderId="1" xfId="2" applyNumberFormat="1" applyFont="1" applyFill="1" applyBorder="1" applyAlignment="1">
      <alignment vertical="center"/>
    </xf>
    <xf numFmtId="0" fontId="10" fillId="8" borderId="4" xfId="0" applyFont="1" applyFill="1" applyBorder="1"/>
    <xf numFmtId="0" fontId="10" fillId="8" borderId="5" xfId="0" applyFont="1" applyFill="1" applyBorder="1"/>
    <xf numFmtId="165" fontId="12" fillId="0" borderId="1" xfId="2" applyNumberFormat="1" applyFont="1" applyBorder="1" applyAlignment="1">
      <alignment horizontal="center"/>
    </xf>
    <xf numFmtId="168" fontId="1" fillId="0" borderId="1" xfId="2" applyNumberFormat="1" applyFont="1" applyBorder="1" applyAlignment="1">
      <alignment horizontal="center"/>
    </xf>
    <xf numFmtId="168" fontId="12" fillId="0" borderId="1" xfId="2" applyNumberFormat="1" applyFont="1" applyBorder="1" applyAlignment="1">
      <alignment horizontal="right"/>
    </xf>
    <xf numFmtId="165" fontId="12" fillId="0" borderId="1" xfId="2" applyNumberFormat="1" applyFont="1" applyBorder="1" applyAlignment="1">
      <alignment horizontal="right"/>
    </xf>
    <xf numFmtId="168" fontId="1" fillId="0" borderId="1" xfId="2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8" fontId="12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0" fillId="8" borderId="6" xfId="0" applyFont="1" applyFill="1" applyBorder="1"/>
    <xf numFmtId="0" fontId="10" fillId="8" borderId="7" xfId="0" applyFont="1" applyFill="1" applyBorder="1"/>
    <xf numFmtId="0" fontId="10" fillId="8" borderId="8" xfId="0" applyFont="1" applyFill="1" applyBorder="1"/>
    <xf numFmtId="165" fontId="11" fillId="4" borderId="1" xfId="3" applyNumberFormat="1" applyFont="1" applyFill="1" applyBorder="1" applyAlignment="1">
      <alignment vertical="center"/>
    </xf>
    <xf numFmtId="165" fontId="11" fillId="4" borderId="1" xfId="2" applyNumberFormat="1" applyFont="1" applyFill="1" applyBorder="1" applyAlignment="1">
      <alignment vertical="center"/>
    </xf>
    <xf numFmtId="168" fontId="9" fillId="0" borderId="2" xfId="2" applyNumberFormat="1" applyFont="1" applyBorder="1" applyAlignment="1">
      <alignment horizontal="right"/>
    </xf>
    <xf numFmtId="165" fontId="12" fillId="5" borderId="1" xfId="2" applyNumberFormat="1" applyFont="1" applyFill="1" applyBorder="1" applyAlignment="1">
      <alignment vertical="center"/>
    </xf>
    <xf numFmtId="165" fontId="1" fillId="5" borderId="1" xfId="2" applyNumberFormat="1" applyFont="1" applyFill="1" applyBorder="1" applyAlignment="1">
      <alignment vertical="center"/>
    </xf>
    <xf numFmtId="168" fontId="1" fillId="5" borderId="1" xfId="2" applyNumberFormat="1" applyFont="1" applyFill="1" applyBorder="1" applyAlignment="1">
      <alignment horizontal="center"/>
    </xf>
    <xf numFmtId="168" fontId="1" fillId="5" borderId="1" xfId="2" applyNumberFormat="1" applyFont="1" applyFill="1" applyBorder="1"/>
    <xf numFmtId="168" fontId="4" fillId="5" borderId="1" xfId="2" applyNumberFormat="1" applyFont="1" applyFill="1" applyBorder="1"/>
    <xf numFmtId="165" fontId="1" fillId="5" borderId="1" xfId="0" applyNumberFormat="1" applyFont="1" applyFill="1" applyBorder="1"/>
    <xf numFmtId="165" fontId="9" fillId="5" borderId="1" xfId="0" applyNumberFormat="1" applyFont="1" applyFill="1" applyBorder="1"/>
    <xf numFmtId="165" fontId="11" fillId="5" borderId="1" xfId="0" applyNumberFormat="1" applyFont="1" applyFill="1" applyBorder="1"/>
    <xf numFmtId="165" fontId="4" fillId="5" borderId="1" xfId="0" applyNumberFormat="1" applyFont="1" applyFill="1" applyBorder="1"/>
    <xf numFmtId="43" fontId="4" fillId="5" borderId="1" xfId="2" applyFont="1" applyFill="1" applyBorder="1"/>
    <xf numFmtId="43" fontId="11" fillId="5" borderId="1" xfId="2" applyFont="1" applyFill="1" applyBorder="1"/>
    <xf numFmtId="165" fontId="12" fillId="5" borderId="2" xfId="2" applyNumberFormat="1" applyFont="1" applyFill="1" applyBorder="1" applyAlignment="1">
      <alignment vertical="center"/>
    </xf>
    <xf numFmtId="168" fontId="12" fillId="5" borderId="2" xfId="2" applyNumberFormat="1" applyFont="1" applyFill="1" applyBorder="1" applyAlignment="1">
      <alignment vertical="center"/>
    </xf>
    <xf numFmtId="168" fontId="9" fillId="5" borderId="1" xfId="2" applyNumberFormat="1" applyFont="1" applyFill="1" applyBorder="1" applyAlignment="1">
      <alignment vertical="center"/>
    </xf>
    <xf numFmtId="168" fontId="9" fillId="5" borderId="2" xfId="2" applyNumberFormat="1" applyFont="1" applyFill="1" applyBorder="1" applyAlignment="1">
      <alignment vertical="center"/>
    </xf>
    <xf numFmtId="168" fontId="1" fillId="5" borderId="2" xfId="2" applyNumberFormat="1" applyFont="1" applyFill="1" applyBorder="1"/>
    <xf numFmtId="168" fontId="1" fillId="5" borderId="2" xfId="2" applyNumberFormat="1" applyFont="1" applyFill="1" applyBorder="1" applyAlignment="1">
      <alignment horizontal="center"/>
    </xf>
    <xf numFmtId="168" fontId="9" fillId="5" borderId="2" xfId="2" applyNumberFormat="1" applyFont="1" applyFill="1" applyBorder="1" applyAlignment="1">
      <alignment horizontal="center"/>
    </xf>
    <xf numFmtId="168" fontId="12" fillId="5" borderId="1" xfId="2" applyNumberFormat="1" applyFont="1" applyFill="1" applyBorder="1" applyAlignment="1">
      <alignment horizontal="right"/>
    </xf>
    <xf numFmtId="168" fontId="12" fillId="5" borderId="2" xfId="2" applyNumberFormat="1" applyFont="1" applyFill="1" applyBorder="1" applyAlignment="1">
      <alignment horizontal="right"/>
    </xf>
    <xf numFmtId="165" fontId="12" fillId="5" borderId="1" xfId="2" applyNumberFormat="1" applyFont="1" applyFill="1" applyBorder="1" applyAlignment="1">
      <alignment horizontal="right"/>
    </xf>
    <xf numFmtId="165" fontId="12" fillId="5" borderId="2" xfId="2" applyNumberFormat="1" applyFont="1" applyFill="1" applyBorder="1" applyAlignment="1">
      <alignment horizontal="right"/>
    </xf>
    <xf numFmtId="168" fontId="1" fillId="5" borderId="2" xfId="2" applyNumberFormat="1" applyFont="1" applyFill="1" applyBorder="1" applyAlignment="1">
      <alignment horizontal="right"/>
    </xf>
    <xf numFmtId="168" fontId="1" fillId="5" borderId="1" xfId="2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5" fontId="1" fillId="5" borderId="2" xfId="0" applyNumberFormat="1" applyFont="1" applyFill="1" applyBorder="1" applyAlignment="1">
      <alignment horizontal="right"/>
    </xf>
    <xf numFmtId="165" fontId="9" fillId="5" borderId="1" xfId="2" applyNumberFormat="1" applyFont="1" applyFill="1" applyBorder="1" applyAlignment="1">
      <alignment vertical="center"/>
    </xf>
    <xf numFmtId="165" fontId="9" fillId="5" borderId="2" xfId="2" applyNumberFormat="1" applyFont="1" applyFill="1" applyBorder="1" applyAlignment="1">
      <alignment vertical="center"/>
    </xf>
    <xf numFmtId="168" fontId="9" fillId="5" borderId="1" xfId="2" applyNumberFormat="1" applyFont="1" applyFill="1" applyBorder="1" applyAlignment="1">
      <alignment horizontal="center" vertical="center"/>
    </xf>
    <xf numFmtId="168" fontId="9" fillId="5" borderId="2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165" fontId="1" fillId="0" borderId="1" xfId="2" applyNumberFormat="1" applyFont="1" applyBorder="1" applyAlignment="1">
      <alignment vertical="center"/>
    </xf>
    <xf numFmtId="165" fontId="1" fillId="5" borderId="2" xfId="2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horizontal="right" vertical="center"/>
    </xf>
    <xf numFmtId="168" fontId="1" fillId="0" borderId="1" xfId="2" applyNumberFormat="1" applyFont="1" applyFill="1" applyBorder="1" applyAlignment="1">
      <alignment horizontal="center"/>
    </xf>
    <xf numFmtId="168" fontId="1" fillId="0" borderId="2" xfId="2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9" xfId="0" applyFont="1" applyBorder="1"/>
    <xf numFmtId="168" fontId="9" fillId="5" borderId="2" xfId="2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2"/>
  <sheetViews>
    <sheetView tabSelected="1" zoomScale="77" zoomScaleNormal="77" zoomScaleSheetLayoutView="90" workbookViewId="0">
      <selection activeCell="Y14" sqref="Y14"/>
    </sheetView>
  </sheetViews>
  <sheetFormatPr defaultColWidth="9.140625" defaultRowHeight="12.75" customHeight="1" x14ac:dyDescent="0.2"/>
  <cols>
    <col min="1" max="1" width="44.85546875" style="1" customWidth="1"/>
    <col min="2" max="2" width="11.140625" style="10" hidden="1" customWidth="1"/>
    <col min="3" max="3" width="9" style="10" hidden="1" customWidth="1"/>
    <col min="4" max="4" width="11.140625" style="10" hidden="1" customWidth="1"/>
    <col min="5" max="5" width="0.5703125" style="10" hidden="1" customWidth="1"/>
    <col min="6" max="6" width="11.140625" style="1" customWidth="1"/>
    <col min="7" max="7" width="11.140625" style="10" bestFit="1" customWidth="1"/>
    <col min="8" max="9" width="11.140625" style="10" customWidth="1"/>
    <col min="10" max="10" width="11.140625" style="10" bestFit="1" customWidth="1"/>
    <col min="11" max="11" width="11.140625" style="10" customWidth="1"/>
    <col min="12" max="12" width="30.28515625" style="1" customWidth="1"/>
    <col min="13" max="13" width="10.85546875" style="10" hidden="1" customWidth="1"/>
    <col min="14" max="14" width="13.85546875" style="10" hidden="1" customWidth="1"/>
    <col min="15" max="15" width="13.140625" style="10" hidden="1" customWidth="1"/>
    <col min="16" max="16" width="11.140625" style="10" hidden="1" customWidth="1"/>
    <col min="17" max="17" width="11.85546875" style="1" customWidth="1"/>
    <col min="18" max="18" width="12.42578125" style="14" customWidth="1"/>
    <col min="19" max="19" width="10.85546875" style="1" customWidth="1"/>
    <col min="20" max="20" width="11.85546875" style="1" customWidth="1"/>
    <col min="21" max="21" width="11" style="1" customWidth="1"/>
    <col min="22" max="22" width="9.140625" style="1"/>
    <col min="23" max="23" width="0" style="1" hidden="1" customWidth="1"/>
    <col min="24" max="24" width="10.42578125" style="1" bestFit="1" customWidth="1"/>
    <col min="25" max="16384" width="9.140625" style="1"/>
  </cols>
  <sheetData>
    <row r="1" spans="1:22" ht="12.75" customHeight="1" x14ac:dyDescent="0.2">
      <c r="A1" s="205" t="s">
        <v>144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22" ht="12.75" customHeight="1" x14ac:dyDescent="0.2">
      <c r="A2" s="160" t="s">
        <v>84</v>
      </c>
      <c r="B2" s="161"/>
      <c r="C2" s="161"/>
      <c r="D2" s="161"/>
      <c r="E2" s="161"/>
      <c r="F2" s="161"/>
      <c r="G2" s="161"/>
      <c r="H2" s="161"/>
      <c r="I2" s="161"/>
      <c r="J2" s="162"/>
      <c r="K2" s="145"/>
      <c r="L2" s="150" t="s">
        <v>83</v>
      </c>
      <c r="M2" s="151"/>
      <c r="N2" s="151"/>
      <c r="O2" s="151"/>
      <c r="P2" s="151"/>
      <c r="Q2" s="151"/>
      <c r="R2" s="151"/>
      <c r="S2" s="151"/>
      <c r="T2" s="151"/>
      <c r="U2" s="151"/>
    </row>
    <row r="3" spans="1:22" ht="12.75" customHeight="1" x14ac:dyDescent="0.2">
      <c r="A3" s="89" t="s">
        <v>115</v>
      </c>
      <c r="B3" s="90" t="s">
        <v>25</v>
      </c>
      <c r="C3" s="90" t="s">
        <v>26</v>
      </c>
      <c r="D3" s="90" t="s">
        <v>27</v>
      </c>
      <c r="E3" s="90" t="s">
        <v>28</v>
      </c>
      <c r="F3" s="90" t="s">
        <v>89</v>
      </c>
      <c r="G3" s="92" t="s">
        <v>113</v>
      </c>
      <c r="H3" s="92" t="s">
        <v>139</v>
      </c>
      <c r="I3" s="92" t="s">
        <v>141</v>
      </c>
      <c r="J3" s="92" t="s">
        <v>157</v>
      </c>
      <c r="K3" s="146"/>
      <c r="L3" s="89" t="s">
        <v>115</v>
      </c>
      <c r="M3" s="93" t="s">
        <v>25</v>
      </c>
      <c r="N3" s="93" t="s">
        <v>26</v>
      </c>
      <c r="O3" s="90" t="s">
        <v>27</v>
      </c>
      <c r="P3" s="90" t="s">
        <v>28</v>
      </c>
      <c r="Q3" s="90" t="s">
        <v>89</v>
      </c>
      <c r="R3" s="94" t="s">
        <v>113</v>
      </c>
      <c r="S3" s="92" t="s">
        <v>139</v>
      </c>
      <c r="T3" s="123" t="s">
        <v>141</v>
      </c>
      <c r="U3" s="92" t="s">
        <v>157</v>
      </c>
    </row>
    <row r="4" spans="1:22" ht="12.75" customHeight="1" x14ac:dyDescent="0.2">
      <c r="A4" s="3" t="s">
        <v>0</v>
      </c>
      <c r="B4" s="58">
        <v>5738.2269999999999</v>
      </c>
      <c r="C4" s="58">
        <v>6373.915</v>
      </c>
      <c r="D4" s="58">
        <v>6768.9319999999998</v>
      </c>
      <c r="E4" s="58">
        <v>5278.1689999999999</v>
      </c>
      <c r="F4" s="58">
        <v>22217.11</v>
      </c>
      <c r="G4" s="58">
        <v>17592.79</v>
      </c>
      <c r="H4" s="58">
        <v>20801.96</v>
      </c>
      <c r="I4" s="58">
        <v>21386.319</v>
      </c>
      <c r="J4" s="149">
        <v>22313.4</v>
      </c>
      <c r="L4" s="6" t="s">
        <v>29</v>
      </c>
      <c r="M4" s="59">
        <v>141.5</v>
      </c>
      <c r="N4" s="60">
        <v>141.5</v>
      </c>
      <c r="O4" s="60">
        <v>141.5</v>
      </c>
      <c r="P4" s="60">
        <v>141.5</v>
      </c>
      <c r="Q4" s="60">
        <v>285.52</v>
      </c>
      <c r="R4" s="60">
        <v>285.52</v>
      </c>
      <c r="S4" s="166">
        <v>285.52</v>
      </c>
      <c r="T4" s="177">
        <v>295.89499999999998</v>
      </c>
      <c r="U4" s="6">
        <v>300.5</v>
      </c>
    </row>
    <row r="5" spans="1:22" ht="12.75" customHeight="1" x14ac:dyDescent="0.2">
      <c r="A5" s="6" t="s">
        <v>5</v>
      </c>
      <c r="B5" s="59">
        <v>38.959000000000003</v>
      </c>
      <c r="C5" s="60">
        <v>42.536999999999999</v>
      </c>
      <c r="D5" s="60">
        <v>61.258000000000003</v>
      </c>
      <c r="E5" s="60">
        <v>50.48</v>
      </c>
      <c r="F5" s="166">
        <v>206.55500000000001</v>
      </c>
      <c r="G5" s="166">
        <v>165.54</v>
      </c>
      <c r="H5" s="166">
        <v>307.89999999999998</v>
      </c>
      <c r="I5" s="166">
        <v>370.84800000000001</v>
      </c>
      <c r="J5" s="167">
        <v>395.6</v>
      </c>
      <c r="L5" s="6" t="s">
        <v>30</v>
      </c>
      <c r="M5" s="59">
        <v>599.86500000000001</v>
      </c>
      <c r="N5" s="60">
        <v>634.51900000000001</v>
      </c>
      <c r="O5" s="60">
        <v>686.50300000000004</v>
      </c>
      <c r="P5" s="60">
        <v>750.89400000000001</v>
      </c>
      <c r="Q5" s="60">
        <v>6734.79</v>
      </c>
      <c r="R5" s="61">
        <v>7178.1</v>
      </c>
      <c r="S5" s="166">
        <v>8063.26</v>
      </c>
      <c r="T5" s="177">
        <v>9125.8989999999994</v>
      </c>
      <c r="U5" s="6">
        <v>9741.2999999999993</v>
      </c>
    </row>
    <row r="6" spans="1:22" ht="12.75" customHeight="1" x14ac:dyDescent="0.2">
      <c r="A6" s="19" t="s">
        <v>146</v>
      </c>
      <c r="B6" s="39">
        <f t="shared" ref="B6:J6" si="0">B4+B5</f>
        <v>5777.1859999999997</v>
      </c>
      <c r="C6" s="39">
        <f t="shared" si="0"/>
        <v>6416.4520000000002</v>
      </c>
      <c r="D6" s="39">
        <f t="shared" si="0"/>
        <v>6830.19</v>
      </c>
      <c r="E6" s="39">
        <f t="shared" si="0"/>
        <v>5328.6489999999994</v>
      </c>
      <c r="F6" s="39">
        <f t="shared" si="0"/>
        <v>22423.665000000001</v>
      </c>
      <c r="G6" s="39">
        <f t="shared" si="0"/>
        <v>17758.330000000002</v>
      </c>
      <c r="H6" s="39">
        <f t="shared" si="0"/>
        <v>21109.86</v>
      </c>
      <c r="I6" s="39">
        <f t="shared" si="0"/>
        <v>21757.167000000001</v>
      </c>
      <c r="J6" s="39">
        <f t="shared" si="0"/>
        <v>22709</v>
      </c>
      <c r="L6" s="19" t="s">
        <v>31</v>
      </c>
      <c r="M6" s="39">
        <f t="shared" ref="M6:Q6" si="1">(M4+M5)</f>
        <v>741.36500000000001</v>
      </c>
      <c r="N6" s="39">
        <f t="shared" si="1"/>
        <v>776.01900000000001</v>
      </c>
      <c r="O6" s="39">
        <f t="shared" si="1"/>
        <v>828.00300000000004</v>
      </c>
      <c r="P6" s="39">
        <f t="shared" si="1"/>
        <v>892.39400000000001</v>
      </c>
      <c r="Q6" s="39">
        <f t="shared" si="1"/>
        <v>7020.3099999999995</v>
      </c>
      <c r="R6" s="39">
        <f>(R4+R5+R7)</f>
        <v>7463.8680000000004</v>
      </c>
      <c r="S6" s="39">
        <f>(S4+S5)</f>
        <v>8348.7800000000007</v>
      </c>
      <c r="T6" s="125">
        <f>(T4+T5)</f>
        <v>9421.7939999999999</v>
      </c>
      <c r="U6" s="39">
        <f>(U4+U5)</f>
        <v>10041.799999999999</v>
      </c>
    </row>
    <row r="7" spans="1:22" ht="12.75" customHeight="1" x14ac:dyDescent="0.2">
      <c r="A7" s="16" t="s">
        <v>1</v>
      </c>
      <c r="B7" s="17"/>
      <c r="C7" s="44">
        <f t="shared" ref="C7:J7" si="2">(C6/B6-1)</f>
        <v>0.11065352578227539</v>
      </c>
      <c r="D7" s="44">
        <f t="shared" si="2"/>
        <v>6.4480806526722168E-2</v>
      </c>
      <c r="E7" s="44">
        <f t="shared" si="2"/>
        <v>-0.21983883318033615</v>
      </c>
      <c r="F7" s="44">
        <f>(F6/E6-1)</f>
        <v>3.2081332435294581</v>
      </c>
      <c r="G7" s="44">
        <f t="shared" si="2"/>
        <v>-0.20805408036554229</v>
      </c>
      <c r="H7" s="44">
        <f t="shared" si="2"/>
        <v>0.18873002134772809</v>
      </c>
      <c r="I7" s="44">
        <f t="shared" si="2"/>
        <v>3.0663727755655401E-2</v>
      </c>
      <c r="J7" s="44">
        <f t="shared" si="2"/>
        <v>4.3748021054395458E-2</v>
      </c>
      <c r="L7" s="6" t="s">
        <v>32</v>
      </c>
      <c r="M7" s="37">
        <v>0</v>
      </c>
      <c r="N7" s="37"/>
      <c r="O7" s="37"/>
      <c r="P7" s="37"/>
      <c r="Q7" s="37"/>
      <c r="R7" s="61">
        <v>0.248</v>
      </c>
      <c r="S7" s="37">
        <v>0</v>
      </c>
      <c r="T7" s="133">
        <v>0</v>
      </c>
      <c r="U7" s="6">
        <v>0</v>
      </c>
    </row>
    <row r="8" spans="1:22" ht="12.75" customHeight="1" x14ac:dyDescent="0.2">
      <c r="A8" s="16" t="s">
        <v>90</v>
      </c>
      <c r="B8" s="17"/>
      <c r="C8" s="76"/>
      <c r="D8" s="76"/>
      <c r="E8" s="76"/>
      <c r="F8" s="44"/>
      <c r="G8" s="44">
        <f>+((G6/D6)^(1/3)-1)</f>
        <v>0.37506463413283408</v>
      </c>
      <c r="H8" s="44">
        <f>+((H6/E6)^(1/3)-1)</f>
        <v>0.58230213112355855</v>
      </c>
      <c r="I8" s="44">
        <f>+((I6/F6)^(1/3)-1)</f>
        <v>-1.0007473264819322E-2</v>
      </c>
      <c r="J8" s="44">
        <f>+((J6/G6)^(1/3)-1)</f>
        <v>8.5422023759992083E-2</v>
      </c>
      <c r="L8" s="6" t="s">
        <v>33</v>
      </c>
      <c r="M8" s="59">
        <v>728.53599999999994</v>
      </c>
      <c r="N8" s="60">
        <v>564.45699999999999</v>
      </c>
      <c r="O8" s="60">
        <v>466.78100000000001</v>
      </c>
      <c r="P8" s="60">
        <v>616.88800000000003</v>
      </c>
      <c r="Q8" s="60">
        <v>491.65</v>
      </c>
      <c r="R8" s="60">
        <v>153.33000000000001</v>
      </c>
      <c r="S8" s="60">
        <v>20.309999999999999</v>
      </c>
      <c r="T8" s="124">
        <v>36.630000000000003</v>
      </c>
      <c r="U8" s="6">
        <v>1278.5</v>
      </c>
    </row>
    <row r="9" spans="1:22" ht="12.75" customHeight="1" x14ac:dyDescent="0.2">
      <c r="A9" s="19" t="s">
        <v>2</v>
      </c>
      <c r="B9" s="39">
        <f t="shared" ref="B9:J9" si="3">SUM(B10:B15)</f>
        <v>5516.5459999999994</v>
      </c>
      <c r="C9" s="39">
        <f t="shared" si="3"/>
        <v>6086.7660000000005</v>
      </c>
      <c r="D9" s="39">
        <f t="shared" si="3"/>
        <v>6402.1489999999994</v>
      </c>
      <c r="E9" s="39">
        <f t="shared" si="3"/>
        <v>5022.442</v>
      </c>
      <c r="F9" s="39">
        <f t="shared" si="3"/>
        <v>20435.142</v>
      </c>
      <c r="G9" s="39">
        <f t="shared" si="3"/>
        <v>15913.309999999998</v>
      </c>
      <c r="H9" s="39">
        <f t="shared" si="3"/>
        <v>18936.989999999998</v>
      </c>
      <c r="I9" s="39">
        <f t="shared" si="3"/>
        <v>19580.453999999998</v>
      </c>
      <c r="J9" s="39">
        <f t="shared" si="3"/>
        <v>20941.490000000002</v>
      </c>
      <c r="L9" s="6" t="s">
        <v>34</v>
      </c>
      <c r="M9" s="59">
        <v>861.23599999999999</v>
      </c>
      <c r="N9" s="60">
        <v>1101.2329999999999</v>
      </c>
      <c r="O9" s="60">
        <v>1232.2819999999999</v>
      </c>
      <c r="P9" s="60">
        <v>1179.07</v>
      </c>
      <c r="Q9" s="60">
        <v>1512.99</v>
      </c>
      <c r="R9" s="60">
        <v>2247.8200000000002</v>
      </c>
      <c r="S9" s="60">
        <v>2818.2</v>
      </c>
      <c r="T9" s="124">
        <v>456.95</v>
      </c>
      <c r="U9" s="6">
        <v>1657.4</v>
      </c>
    </row>
    <row r="10" spans="1:22" ht="12.75" customHeight="1" x14ac:dyDescent="0.2">
      <c r="A10" s="6" t="s">
        <v>87</v>
      </c>
      <c r="B10" s="61">
        <v>4886.2389999999996</v>
      </c>
      <c r="C10" s="61">
        <v>5026.9350000000004</v>
      </c>
      <c r="D10" s="61">
        <v>5373.6109999999999</v>
      </c>
      <c r="E10" s="61">
        <v>3854.4270000000001</v>
      </c>
      <c r="F10" s="58">
        <v>15198.129000000001</v>
      </c>
      <c r="G10" s="58">
        <v>11664.14</v>
      </c>
      <c r="H10" s="58">
        <v>13012.5</v>
      </c>
      <c r="I10" s="58">
        <v>15481.7</v>
      </c>
      <c r="J10" s="149">
        <v>14563.6</v>
      </c>
      <c r="L10" s="19" t="s">
        <v>35</v>
      </c>
      <c r="M10" s="39">
        <f t="shared" ref="M10:S10" si="4">(M8+M9)</f>
        <v>1589.7719999999999</v>
      </c>
      <c r="N10" s="39">
        <f t="shared" si="4"/>
        <v>1665.69</v>
      </c>
      <c r="O10" s="39">
        <f t="shared" si="4"/>
        <v>1699.0629999999999</v>
      </c>
      <c r="P10" s="39">
        <f t="shared" si="4"/>
        <v>1795.9580000000001</v>
      </c>
      <c r="Q10" s="39">
        <f t="shared" si="4"/>
        <v>2004.6399999999999</v>
      </c>
      <c r="R10" s="39">
        <f t="shared" si="4"/>
        <v>2401.15</v>
      </c>
      <c r="S10" s="39">
        <f t="shared" si="4"/>
        <v>2838.5099999999998</v>
      </c>
      <c r="T10" s="125">
        <f t="shared" ref="T10:U10" si="5">(T8+T9)</f>
        <v>493.58</v>
      </c>
      <c r="U10" s="39">
        <f t="shared" si="5"/>
        <v>2935.9</v>
      </c>
    </row>
    <row r="11" spans="1:22" ht="12.75" customHeight="1" x14ac:dyDescent="0.2">
      <c r="A11" s="6" t="s">
        <v>142</v>
      </c>
      <c r="B11" s="61"/>
      <c r="C11" s="61"/>
      <c r="D11" s="61"/>
      <c r="E11" s="61"/>
      <c r="F11" s="58">
        <v>801.37900000000002</v>
      </c>
      <c r="G11" s="58">
        <v>1003.3</v>
      </c>
      <c r="H11" s="58">
        <v>1814.252</v>
      </c>
      <c r="I11" s="58">
        <v>628.40800000000002</v>
      </c>
      <c r="J11" s="149">
        <v>2332.89</v>
      </c>
      <c r="L11" s="19" t="s">
        <v>36</v>
      </c>
      <c r="M11" s="39">
        <f>(M6+M8+M7+M40+M41)</f>
        <v>1706.8829999999998</v>
      </c>
      <c r="N11" s="39">
        <f>(N6+N8+N7+N40+N41)</f>
        <v>1511.2460000000001</v>
      </c>
      <c r="O11" s="39">
        <f>(O6+O8+O7+O40+O41)</f>
        <v>1471.5760000000002</v>
      </c>
      <c r="P11" s="39">
        <f>(P6+P8+P7+P40+P41)</f>
        <v>1700.412</v>
      </c>
      <c r="Q11" s="39">
        <f>(Q6+Q8+Q7+Q40+Q41+Q42)</f>
        <v>7961.9499999999989</v>
      </c>
      <c r="R11" s="39">
        <f>R6+R7+R10</f>
        <v>9865.2659999999996</v>
      </c>
      <c r="S11" s="39">
        <f>S6+S7+S10</f>
        <v>11187.29</v>
      </c>
      <c r="T11" s="125">
        <f>T6+T7+T10</f>
        <v>9915.3739999999998</v>
      </c>
      <c r="U11" s="39">
        <f>U6+U7+U10</f>
        <v>12977.699999999999</v>
      </c>
    </row>
    <row r="12" spans="1:22" ht="12.75" customHeight="1" x14ac:dyDescent="0.2">
      <c r="A12" s="6" t="s">
        <v>116</v>
      </c>
      <c r="B12" s="59">
        <v>-197.78100000000001</v>
      </c>
      <c r="C12" s="60">
        <v>-86.826999999999998</v>
      </c>
      <c r="D12" s="60">
        <v>-78.759</v>
      </c>
      <c r="E12" s="60">
        <v>-95.72</v>
      </c>
      <c r="F12" s="166">
        <v>970.53599999999994</v>
      </c>
      <c r="G12" s="166">
        <v>-36.082999999999998</v>
      </c>
      <c r="H12" s="166">
        <v>-599.44100000000003</v>
      </c>
      <c r="I12" s="166">
        <v>-277.2</v>
      </c>
      <c r="J12" s="167">
        <v>833.3</v>
      </c>
      <c r="L12" s="6" t="s">
        <v>80</v>
      </c>
      <c r="M12" s="79" t="e">
        <f>M11-#REF!</f>
        <v>#REF!</v>
      </c>
      <c r="N12" s="79"/>
      <c r="O12" s="79"/>
      <c r="P12" s="79"/>
      <c r="Q12" s="49">
        <v>5556.45</v>
      </c>
      <c r="R12" s="38">
        <v>5616.08</v>
      </c>
      <c r="S12" s="49">
        <v>5763.48</v>
      </c>
      <c r="T12" s="134">
        <v>6032.03</v>
      </c>
      <c r="U12" s="6"/>
    </row>
    <row r="13" spans="1:22" ht="12.75" customHeight="1" x14ac:dyDescent="0.2">
      <c r="A13" s="6" t="s">
        <v>138</v>
      </c>
      <c r="B13" s="59"/>
      <c r="C13" s="60"/>
      <c r="D13" s="60"/>
      <c r="E13" s="60"/>
      <c r="F13" s="168" t="s">
        <v>140</v>
      </c>
      <c r="G13" s="168" t="s">
        <v>140</v>
      </c>
      <c r="H13" s="168" t="s">
        <v>140</v>
      </c>
      <c r="I13" s="166">
        <v>0</v>
      </c>
      <c r="J13" s="167"/>
      <c r="L13" s="19" t="s">
        <v>147</v>
      </c>
      <c r="M13" s="163"/>
      <c r="N13" s="164"/>
      <c r="O13" s="164"/>
      <c r="P13" s="164"/>
      <c r="Q13" s="164">
        <f>SUM(Q14:Q20)</f>
        <v>6450.6090000000004</v>
      </c>
      <c r="R13" s="164">
        <f>SUM(R14:R20)</f>
        <v>6487.6990000000005</v>
      </c>
      <c r="S13" s="164">
        <f>SUM(S14:S20)</f>
        <v>5777.5779999999995</v>
      </c>
      <c r="T13" s="164">
        <f>SUM(T14:T20)</f>
        <v>6011.6990000000005</v>
      </c>
      <c r="U13" s="164">
        <f>SUM(U14:U20)</f>
        <v>7880.1</v>
      </c>
    </row>
    <row r="14" spans="1:22" ht="12.75" customHeight="1" x14ac:dyDescent="0.2">
      <c r="A14" s="6" t="s">
        <v>60</v>
      </c>
      <c r="B14" s="59">
        <v>46.494</v>
      </c>
      <c r="C14" s="60">
        <v>62.578000000000003</v>
      </c>
      <c r="D14" s="60">
        <v>76.045000000000002</v>
      </c>
      <c r="E14" s="60">
        <v>71.625</v>
      </c>
      <c r="F14" s="166">
        <v>560.35199999999998</v>
      </c>
      <c r="G14" s="166">
        <v>559.20299999999997</v>
      </c>
      <c r="H14" s="166">
        <v>548.88499999999999</v>
      </c>
      <c r="I14" s="166">
        <v>541.24599999999998</v>
      </c>
      <c r="J14" s="167">
        <v>599.4</v>
      </c>
      <c r="L14" s="6" t="s">
        <v>37</v>
      </c>
      <c r="M14" s="62">
        <v>1109.1949999999999</v>
      </c>
      <c r="N14" s="62">
        <v>1032.761</v>
      </c>
      <c r="O14" s="62">
        <v>997.298</v>
      </c>
      <c r="P14" s="62">
        <v>926.25699999999995</v>
      </c>
      <c r="Q14" s="62">
        <f>3964.198</f>
        <v>3964.1979999999999</v>
      </c>
      <c r="R14" s="62">
        <f>3540.387</f>
        <v>3540.3870000000002</v>
      </c>
      <c r="S14" s="178">
        <f>3263.921</f>
        <v>3263.9209999999998</v>
      </c>
      <c r="T14" s="178">
        <f>3119.875</f>
        <v>3119.875</v>
      </c>
      <c r="U14" s="6">
        <v>4841.1000000000004</v>
      </c>
      <c r="V14" s="148"/>
    </row>
    <row r="15" spans="1:22" ht="12.75" customHeight="1" x14ac:dyDescent="0.2">
      <c r="A15" s="6" t="s">
        <v>63</v>
      </c>
      <c r="B15" s="59">
        <v>781.59400000000005</v>
      </c>
      <c r="C15" s="60">
        <v>1084.08</v>
      </c>
      <c r="D15" s="60">
        <v>1031.252</v>
      </c>
      <c r="E15" s="60">
        <v>1192.1099999999999</v>
      </c>
      <c r="F15" s="166">
        <v>2904.7460000000001</v>
      </c>
      <c r="G15" s="166">
        <v>2722.75</v>
      </c>
      <c r="H15" s="166">
        <v>4160.7939999999999</v>
      </c>
      <c r="I15" s="166">
        <v>3206.3</v>
      </c>
      <c r="J15" s="167">
        <v>2612.3000000000002</v>
      </c>
      <c r="L15" s="6" t="s">
        <v>148</v>
      </c>
      <c r="M15" s="63"/>
      <c r="N15" s="64"/>
      <c r="O15" s="64"/>
      <c r="P15" s="64"/>
      <c r="Q15" s="64">
        <v>0</v>
      </c>
      <c r="R15" s="65">
        <f>142.748</f>
        <v>142.74799999999999</v>
      </c>
      <c r="S15" s="166">
        <f>103.078</f>
        <v>103.078</v>
      </c>
      <c r="T15" s="177">
        <f>63.393</f>
        <v>63.393000000000001</v>
      </c>
      <c r="U15" s="6">
        <v>48.7</v>
      </c>
    </row>
    <row r="16" spans="1:22" ht="12.75" customHeight="1" x14ac:dyDescent="0.2">
      <c r="A16" s="19" t="s">
        <v>3</v>
      </c>
      <c r="B16" s="39">
        <f t="shared" ref="B16:J16" si="6">(B6-B9)</f>
        <v>260.64000000000033</v>
      </c>
      <c r="C16" s="39">
        <f t="shared" si="6"/>
        <v>329.68599999999969</v>
      </c>
      <c r="D16" s="39">
        <f t="shared" si="6"/>
        <v>428.04100000000017</v>
      </c>
      <c r="E16" s="39">
        <f t="shared" si="6"/>
        <v>306.20699999999943</v>
      </c>
      <c r="F16" s="39">
        <f t="shared" si="6"/>
        <v>1988.523000000001</v>
      </c>
      <c r="G16" s="39">
        <f t="shared" si="6"/>
        <v>1845.0200000000041</v>
      </c>
      <c r="H16" s="39">
        <f>(H6-H9)</f>
        <v>2172.8700000000026</v>
      </c>
      <c r="I16" s="39">
        <f>(I6-I9)</f>
        <v>2176.7130000000034</v>
      </c>
      <c r="J16" s="39">
        <f t="shared" si="6"/>
        <v>1767.5099999999984</v>
      </c>
      <c r="L16" s="6" t="s">
        <v>149</v>
      </c>
      <c r="M16" s="63"/>
      <c r="N16" s="64"/>
      <c r="O16" s="64"/>
      <c r="P16" s="64"/>
      <c r="Q16" s="67">
        <f>27.581</f>
        <v>27.581</v>
      </c>
      <c r="R16" s="67">
        <f>35.604</f>
        <v>35.603999999999999</v>
      </c>
      <c r="S16" s="179">
        <f>10.117</f>
        <v>10.117000000000001</v>
      </c>
      <c r="T16" s="180">
        <f>198.806</f>
        <v>198.80600000000001</v>
      </c>
      <c r="U16" s="6">
        <v>144.5</v>
      </c>
    </row>
    <row r="17" spans="1:21" ht="12.75" customHeight="1" x14ac:dyDescent="0.2">
      <c r="A17" s="16" t="s">
        <v>1</v>
      </c>
      <c r="B17" s="17"/>
      <c r="C17" s="44">
        <f t="shared" ref="C17" si="7">(C16/B16-1)</f>
        <v>0.26490945365254492</v>
      </c>
      <c r="D17" s="44">
        <f t="shared" ref="D17" si="8">(D16/C16-1)</f>
        <v>0.29832931941301899</v>
      </c>
      <c r="E17" s="44">
        <f t="shared" ref="E17" si="9">(E16/D16-1)</f>
        <v>-0.28463161239227242</v>
      </c>
      <c r="F17" s="44">
        <f t="shared" ref="F17" si="10">(F16/E16-1)</f>
        <v>5.4940481439026696</v>
      </c>
      <c r="G17" s="44">
        <f t="shared" ref="G17" si="11">(G16/F16-1)</f>
        <v>-7.2165622424280151E-2</v>
      </c>
      <c r="H17" s="44">
        <f t="shared" ref="H17" si="12">(H16/G16-1)</f>
        <v>0.17769455073657614</v>
      </c>
      <c r="I17" s="44">
        <f t="shared" ref="I17:J17" si="13">(I16/H16-1)</f>
        <v>1.7686285879967567E-3</v>
      </c>
      <c r="J17" s="44">
        <f t="shared" si="13"/>
        <v>-0.18799125102850234</v>
      </c>
      <c r="L17" s="6" t="s">
        <v>150</v>
      </c>
      <c r="M17" s="37"/>
      <c r="N17" s="37"/>
      <c r="O17" s="37"/>
      <c r="P17" s="62"/>
      <c r="Q17" s="37">
        <f>1022.98</f>
        <v>1022.98</v>
      </c>
      <c r="R17" s="37">
        <f>1022.98</f>
        <v>1022.98</v>
      </c>
      <c r="S17" s="169">
        <f>1022.983</f>
        <v>1022.9829999999999</v>
      </c>
      <c r="T17" s="181">
        <f>1022.98</f>
        <v>1022.98</v>
      </c>
      <c r="U17" s="7">
        <v>1023</v>
      </c>
    </row>
    <row r="18" spans="1:21" ht="12.75" customHeight="1" x14ac:dyDescent="0.2">
      <c r="A18" s="16" t="s">
        <v>90</v>
      </c>
      <c r="B18" s="17"/>
      <c r="C18" s="44"/>
      <c r="D18" s="44"/>
      <c r="E18" s="44"/>
      <c r="F18" s="44"/>
      <c r="G18" s="44">
        <f>+((G16/D16)^(1/3)-1)</f>
        <v>0.62744093683787883</v>
      </c>
      <c r="H18" s="44">
        <f>+((H16/E16)^(1/3)-1)</f>
        <v>0.92164374410263927</v>
      </c>
      <c r="I18" s="44">
        <f>+((I16/F16)^(1/3)-1)</f>
        <v>3.0600109216872617E-2</v>
      </c>
      <c r="J18" s="44">
        <f>+((J16/G16)^(1/3)-1)</f>
        <v>-1.4204267495418255E-2</v>
      </c>
      <c r="L18" s="6" t="s">
        <v>151</v>
      </c>
      <c r="M18" s="37"/>
      <c r="N18" s="37"/>
      <c r="O18" s="37"/>
      <c r="P18" s="62"/>
      <c r="Q18" s="158">
        <f>374.173</f>
        <v>374.173</v>
      </c>
      <c r="R18" s="158">
        <f>511.331</f>
        <v>511.33100000000002</v>
      </c>
      <c r="S18" s="168">
        <f>251.852</f>
        <v>251.852</v>
      </c>
      <c r="T18" s="182">
        <f>734.72</f>
        <v>734.72</v>
      </c>
      <c r="U18" s="6">
        <v>856.5</v>
      </c>
    </row>
    <row r="19" spans="1:21" ht="12.75" customHeight="1" x14ac:dyDescent="0.2">
      <c r="A19" s="19" t="s">
        <v>4</v>
      </c>
      <c r="B19" s="21">
        <f t="shared" ref="B19:I19" si="14">(B16/B6)</f>
        <v>4.5115390087838672E-2</v>
      </c>
      <c r="C19" s="21">
        <f t="shared" si="14"/>
        <v>5.1381355303522835E-2</v>
      </c>
      <c r="D19" s="21">
        <f t="shared" si="14"/>
        <v>6.2668974069535435E-2</v>
      </c>
      <c r="E19" s="21">
        <f t="shared" si="14"/>
        <v>5.7464284099027624E-2</v>
      </c>
      <c r="F19" s="21">
        <f t="shared" si="14"/>
        <v>8.8679660528285673E-2</v>
      </c>
      <c r="G19" s="21">
        <f t="shared" si="14"/>
        <v>0.10389603076415428</v>
      </c>
      <c r="H19" s="21">
        <f t="shared" si="14"/>
        <v>0.10293152109961898</v>
      </c>
      <c r="I19" s="21">
        <f t="shared" si="14"/>
        <v>0.10004579180736184</v>
      </c>
      <c r="J19" s="21">
        <f>(J16/J6)</f>
        <v>7.7833017746267927E-2</v>
      </c>
      <c r="L19" s="6" t="s">
        <v>152</v>
      </c>
      <c r="M19" s="37"/>
      <c r="N19" s="37"/>
      <c r="O19" s="37"/>
      <c r="P19" s="62"/>
      <c r="Q19" s="70">
        <f>48.617</f>
        <v>48.616999999999997</v>
      </c>
      <c r="R19" s="62">
        <f>155.893</f>
        <v>155.893</v>
      </c>
      <c r="S19" s="179">
        <v>45.883000000000003</v>
      </c>
      <c r="T19" s="180">
        <f>102.785</f>
        <v>102.785</v>
      </c>
      <c r="U19" s="6">
        <v>115</v>
      </c>
    </row>
    <row r="20" spans="1:21" ht="12.75" customHeight="1" x14ac:dyDescent="0.2">
      <c r="A20" s="6" t="s">
        <v>6</v>
      </c>
      <c r="B20" s="59">
        <v>74.507000000000005</v>
      </c>
      <c r="C20" s="60">
        <v>111.996</v>
      </c>
      <c r="D20" s="60">
        <v>82.792000000000002</v>
      </c>
      <c r="E20" s="60">
        <v>77.786000000000001</v>
      </c>
      <c r="F20" s="166">
        <v>459.28699999999998</v>
      </c>
      <c r="G20" s="166">
        <v>523.21</v>
      </c>
      <c r="H20" s="166">
        <v>463.81200000000001</v>
      </c>
      <c r="I20" s="166">
        <v>454.03</v>
      </c>
      <c r="J20" s="167">
        <v>453.5</v>
      </c>
      <c r="L20" s="6" t="s">
        <v>153</v>
      </c>
      <c r="M20" s="37"/>
      <c r="N20" s="37"/>
      <c r="O20" s="37"/>
      <c r="P20" s="37"/>
      <c r="Q20" s="37">
        <f>1013.06</f>
        <v>1013.06</v>
      </c>
      <c r="R20" s="62">
        <f>1078.756</f>
        <v>1078.7560000000001</v>
      </c>
      <c r="S20" s="84">
        <f>1079.744</f>
        <v>1079.7439999999999</v>
      </c>
      <c r="T20" s="183">
        <f>769.14</f>
        <v>769.14</v>
      </c>
      <c r="U20" s="143">
        <v>851.3</v>
      </c>
    </row>
    <row r="21" spans="1:21" ht="12.75" customHeight="1" x14ac:dyDescent="0.2">
      <c r="A21" s="6" t="s">
        <v>7</v>
      </c>
      <c r="B21" s="59">
        <v>140.64599999999999</v>
      </c>
      <c r="C21" s="60">
        <v>141.47399999999999</v>
      </c>
      <c r="D21" s="60">
        <v>243.185</v>
      </c>
      <c r="E21" s="60">
        <v>140.08199999999999</v>
      </c>
      <c r="F21" s="166">
        <v>644.93700000000001</v>
      </c>
      <c r="G21" s="166">
        <v>644.20000000000005</v>
      </c>
      <c r="H21" s="166">
        <v>528.03300000000002</v>
      </c>
      <c r="I21" s="166">
        <v>373.03</v>
      </c>
      <c r="J21" s="167">
        <v>410.3</v>
      </c>
      <c r="L21" s="19" t="s">
        <v>117</v>
      </c>
      <c r="M21" s="39">
        <f>SUM(M22:M30)</f>
        <v>2056.9660000000003</v>
      </c>
      <c r="N21" s="39">
        <f t="shared" ref="N21:R21" si="15">SUM(N22:N30)</f>
        <v>2114.386</v>
      </c>
      <c r="O21" s="39">
        <f t="shared" si="15"/>
        <v>2572.4689999999996</v>
      </c>
      <c r="P21" s="39">
        <f t="shared" si="15"/>
        <v>2853.1840000000002</v>
      </c>
      <c r="Q21" s="39">
        <f t="shared" si="15"/>
        <v>9491.369999999999</v>
      </c>
      <c r="R21" s="39">
        <f t="shared" si="15"/>
        <v>11783.95</v>
      </c>
      <c r="S21" s="39">
        <f>SUM(S22:S30)</f>
        <v>12181.456</v>
      </c>
      <c r="T21" s="125">
        <f>SUM(T22:T30)</f>
        <v>12187.290999999997</v>
      </c>
      <c r="U21" s="39">
        <f>SUM(U22:U31)</f>
        <v>9398.6999999999989</v>
      </c>
    </row>
    <row r="22" spans="1:21" ht="12.75" customHeight="1" x14ac:dyDescent="0.2">
      <c r="A22" s="6" t="s">
        <v>8</v>
      </c>
      <c r="B22" s="37"/>
      <c r="C22" s="37"/>
      <c r="D22" s="37"/>
      <c r="E22" s="37"/>
      <c r="F22" s="169"/>
      <c r="G22" s="84">
        <v>25.041</v>
      </c>
      <c r="H22" s="82"/>
      <c r="I22" s="82"/>
      <c r="J22" s="170"/>
      <c r="L22" s="6" t="s">
        <v>38</v>
      </c>
      <c r="M22" s="61">
        <v>1741.0340000000001</v>
      </c>
      <c r="N22" s="61">
        <v>1794.6949999999999</v>
      </c>
      <c r="O22" s="61">
        <f>2236.967</f>
        <v>2236.9670000000001</v>
      </c>
      <c r="P22" s="61">
        <f>2419.994</f>
        <v>2419.9940000000001</v>
      </c>
      <c r="Q22" s="154">
        <v>2166.29</v>
      </c>
      <c r="R22" s="154">
        <v>3796.02</v>
      </c>
      <c r="S22" s="184">
        <v>3315.61</v>
      </c>
      <c r="T22" s="185">
        <v>3183.4</v>
      </c>
      <c r="U22" s="143">
        <v>1207.9000000000001</v>
      </c>
    </row>
    <row r="23" spans="1:21" ht="12.75" customHeight="1" x14ac:dyDescent="0.2">
      <c r="A23" s="19" t="s">
        <v>9</v>
      </c>
      <c r="B23" s="40">
        <f>(B16-B20-B21-B22)</f>
        <v>45.487000000000336</v>
      </c>
      <c r="C23" s="40">
        <f t="shared" ref="C23:J23" si="16">(C16-C20-C21-C22)</f>
        <v>76.215999999999724</v>
      </c>
      <c r="D23" s="40">
        <f t="shared" si="16"/>
        <v>102.06400000000014</v>
      </c>
      <c r="E23" s="40">
        <f t="shared" si="16"/>
        <v>88.33899999999943</v>
      </c>
      <c r="F23" s="40">
        <f t="shared" si="16"/>
        <v>884.299000000001</v>
      </c>
      <c r="G23" s="40">
        <f t="shared" si="16"/>
        <v>652.56900000000394</v>
      </c>
      <c r="H23" s="40">
        <f t="shared" si="16"/>
        <v>1181.0250000000028</v>
      </c>
      <c r="I23" s="40">
        <f t="shared" si="16"/>
        <v>1349.6530000000034</v>
      </c>
      <c r="J23" s="40">
        <f t="shared" si="16"/>
        <v>903.70999999999844</v>
      </c>
      <c r="L23" s="6" t="s">
        <v>151</v>
      </c>
      <c r="M23" s="59">
        <v>170.089</v>
      </c>
      <c r="N23" s="60">
        <v>149.346</v>
      </c>
      <c r="O23" s="60">
        <v>191.67099999999999</v>
      </c>
      <c r="P23" s="60">
        <v>300.12799999999999</v>
      </c>
      <c r="Q23" s="155">
        <v>5552.54</v>
      </c>
      <c r="R23" s="155">
        <v>4499.92</v>
      </c>
      <c r="S23" s="186">
        <v>6559.53</v>
      </c>
      <c r="T23" s="187">
        <v>5443.4</v>
      </c>
      <c r="U23" s="143">
        <v>4939.3</v>
      </c>
    </row>
    <row r="24" spans="1:21" ht="12.75" customHeight="1" x14ac:dyDescent="0.2">
      <c r="A24" s="6" t="s">
        <v>10</v>
      </c>
      <c r="B24" s="37">
        <v>7</v>
      </c>
      <c r="C24" s="37">
        <v>8.5</v>
      </c>
      <c r="D24" s="37">
        <v>25</v>
      </c>
      <c r="E24" s="37">
        <v>19</v>
      </c>
      <c r="F24" s="82">
        <f>265.58+30.35</f>
        <v>295.93</v>
      </c>
      <c r="G24" s="84">
        <v>97.53</v>
      </c>
      <c r="H24" s="84">
        <v>358.44</v>
      </c>
      <c r="I24" s="84">
        <v>333.9</v>
      </c>
      <c r="J24" s="49">
        <v>223.8</v>
      </c>
      <c r="L24" s="6" t="s">
        <v>39</v>
      </c>
      <c r="M24" s="59">
        <v>59.843000000000004</v>
      </c>
      <c r="N24" s="60">
        <v>61.216999999999999</v>
      </c>
      <c r="O24" s="60">
        <v>82.111000000000004</v>
      </c>
      <c r="P24" s="60">
        <v>54.527000000000001</v>
      </c>
      <c r="Q24" s="155">
        <v>49.21</v>
      </c>
      <c r="R24" s="155">
        <v>1360.28</v>
      </c>
      <c r="S24" s="186">
        <v>172.92</v>
      </c>
      <c r="T24" s="187">
        <v>819.46</v>
      </c>
      <c r="U24" s="143">
        <v>368.9</v>
      </c>
    </row>
    <row r="25" spans="1:21" ht="12.75" customHeight="1" x14ac:dyDescent="0.2">
      <c r="A25" s="16" t="s">
        <v>11</v>
      </c>
      <c r="B25" s="44">
        <f t="shared" ref="B25:H25" si="17">(B24/B23)</f>
        <v>0.15389012245256772</v>
      </c>
      <c r="C25" s="44">
        <f t="shared" si="17"/>
        <v>0.11152513907840914</v>
      </c>
      <c r="D25" s="44">
        <f t="shared" si="17"/>
        <v>0.24494434864398776</v>
      </c>
      <c r="E25" s="44">
        <f t="shared" si="17"/>
        <v>0.21508054200296722</v>
      </c>
      <c r="F25" s="44">
        <f t="shared" si="17"/>
        <v>0.3346492532503143</v>
      </c>
      <c r="G25" s="44">
        <f t="shared" si="17"/>
        <v>0.14945545988240233</v>
      </c>
      <c r="H25" s="44">
        <f t="shared" si="17"/>
        <v>0.30349907918968622</v>
      </c>
      <c r="I25" s="44">
        <f t="shared" ref="I25:J25" si="18">(I24/I23)</f>
        <v>0.24739692350552261</v>
      </c>
      <c r="J25" s="44">
        <f t="shared" si="18"/>
        <v>0.24764581558243284</v>
      </c>
      <c r="L25" s="6" t="s">
        <v>85</v>
      </c>
      <c r="M25" s="59">
        <v>86</v>
      </c>
      <c r="N25" s="60">
        <v>109.128</v>
      </c>
      <c r="O25" s="60">
        <v>61.72</v>
      </c>
      <c r="P25" s="60">
        <v>78.534999999999997</v>
      </c>
      <c r="Q25" s="155">
        <v>500.69</v>
      </c>
      <c r="R25" s="155">
        <v>114.02</v>
      </c>
      <c r="S25" s="200">
        <v>196.1</v>
      </c>
      <c r="T25" s="201">
        <v>13.83</v>
      </c>
      <c r="U25" s="143">
        <v>718.7</v>
      </c>
    </row>
    <row r="26" spans="1:21" ht="12.75" customHeight="1" x14ac:dyDescent="0.2">
      <c r="A26" s="19" t="s">
        <v>12</v>
      </c>
      <c r="B26" s="40">
        <f t="shared" ref="B26:J26" si="19">(B23-B24)</f>
        <v>38.487000000000336</v>
      </c>
      <c r="C26" s="40">
        <f t="shared" si="19"/>
        <v>67.715999999999724</v>
      </c>
      <c r="D26" s="40">
        <f>(D23-D24-8)</f>
        <v>69.064000000000135</v>
      </c>
      <c r="E26" s="40">
        <f>(E23-E24-4)</f>
        <v>65.33899999999943</v>
      </c>
      <c r="F26" s="40">
        <f>(F23-F24)</f>
        <v>588.36900000000105</v>
      </c>
      <c r="G26" s="40">
        <f t="shared" si="19"/>
        <v>555.03900000000397</v>
      </c>
      <c r="H26" s="40">
        <f t="shared" si="19"/>
        <v>822.58500000000276</v>
      </c>
      <c r="I26" s="40">
        <f t="shared" si="19"/>
        <v>1015.7530000000035</v>
      </c>
      <c r="J26" s="40">
        <f t="shared" si="19"/>
        <v>679.90999999999849</v>
      </c>
      <c r="L26" s="6" t="s">
        <v>92</v>
      </c>
      <c r="M26" s="59"/>
      <c r="N26" s="60"/>
      <c r="O26" s="60"/>
      <c r="P26" s="60"/>
      <c r="Q26" s="152" t="s">
        <v>140</v>
      </c>
      <c r="R26" s="152" t="s">
        <v>140</v>
      </c>
      <c r="S26" s="189">
        <v>0</v>
      </c>
      <c r="T26" s="188">
        <v>0</v>
      </c>
      <c r="U26" s="143" t="s">
        <v>140</v>
      </c>
    </row>
    <row r="27" spans="1:21" ht="12.75" customHeight="1" x14ac:dyDescent="0.2">
      <c r="A27" s="19" t="s">
        <v>75</v>
      </c>
      <c r="B27" s="22">
        <f t="shared" ref="B27:J27" si="20">B26/B6</f>
        <v>6.6618938701299103E-3</v>
      </c>
      <c r="C27" s="22">
        <f t="shared" si="20"/>
        <v>1.0553495919551759E-2</v>
      </c>
      <c r="D27" s="22">
        <f t="shared" si="20"/>
        <v>1.0111578155219713E-2</v>
      </c>
      <c r="E27" s="22">
        <f t="shared" si="20"/>
        <v>1.2261832220512072E-2</v>
      </c>
      <c r="F27" s="22">
        <f t="shared" si="20"/>
        <v>2.6238752674908453E-2</v>
      </c>
      <c r="G27" s="22">
        <f t="shared" si="20"/>
        <v>3.125513491415037E-2</v>
      </c>
      <c r="H27" s="22">
        <f t="shared" si="20"/>
        <v>3.8966861930870351E-2</v>
      </c>
      <c r="I27" s="22">
        <f t="shared" si="20"/>
        <v>4.6685903546174162E-2</v>
      </c>
      <c r="J27" s="22">
        <f t="shared" si="20"/>
        <v>2.9940111849927276E-2</v>
      </c>
      <c r="L27" s="6" t="s">
        <v>91</v>
      </c>
      <c r="M27" s="59"/>
      <c r="N27" s="60"/>
      <c r="O27" s="60"/>
      <c r="P27" s="60"/>
      <c r="Q27" s="155">
        <v>138.07</v>
      </c>
      <c r="R27" s="155">
        <v>83.29</v>
      </c>
      <c r="S27" s="189">
        <v>50.54</v>
      </c>
      <c r="T27" s="182">
        <v>70.3</v>
      </c>
      <c r="U27" s="143">
        <v>74.900000000000006</v>
      </c>
    </row>
    <row r="28" spans="1:21" ht="12.75" customHeight="1" x14ac:dyDescent="0.2">
      <c r="A28" s="6" t="s">
        <v>13</v>
      </c>
      <c r="B28" s="7"/>
      <c r="C28" s="7"/>
      <c r="D28" s="7"/>
      <c r="E28" s="7"/>
      <c r="F28" s="171"/>
      <c r="G28" s="172">
        <v>0</v>
      </c>
      <c r="H28" s="173">
        <v>0</v>
      </c>
      <c r="I28" s="173">
        <v>0</v>
      </c>
      <c r="J28" s="174">
        <v>0</v>
      </c>
      <c r="L28" s="6" t="s">
        <v>61</v>
      </c>
      <c r="M28" s="37"/>
      <c r="N28" s="37"/>
      <c r="O28" s="37"/>
      <c r="P28" s="37"/>
      <c r="Q28" s="154">
        <v>660.74</v>
      </c>
      <c r="R28" s="154">
        <v>1074.48</v>
      </c>
      <c r="S28" s="184">
        <v>1031.78</v>
      </c>
      <c r="T28" s="185">
        <v>1075.08</v>
      </c>
      <c r="U28" s="143">
        <v>740.9</v>
      </c>
    </row>
    <row r="29" spans="1:21" ht="12.75" customHeight="1" x14ac:dyDescent="0.2">
      <c r="A29" s="6" t="s">
        <v>64</v>
      </c>
      <c r="B29" s="7"/>
      <c r="C29" s="7"/>
      <c r="D29" s="7"/>
      <c r="E29" s="7"/>
      <c r="F29" s="171">
        <v>22.143999999999998</v>
      </c>
      <c r="G29" s="172">
        <v>67.382000000000005</v>
      </c>
      <c r="H29" s="172">
        <v>-26.18</v>
      </c>
      <c r="I29" s="172">
        <v>-43.99</v>
      </c>
      <c r="J29" s="172">
        <v>34.299999999999997</v>
      </c>
      <c r="L29" s="6" t="s">
        <v>62</v>
      </c>
      <c r="M29" s="37"/>
      <c r="N29" s="37"/>
      <c r="O29" s="37"/>
      <c r="P29" s="37"/>
      <c r="Q29" s="156">
        <v>0.51</v>
      </c>
      <c r="R29" s="154">
        <v>0.21</v>
      </c>
      <c r="S29" s="184">
        <v>6.2560000000000002</v>
      </c>
      <c r="T29" s="185">
        <v>0.04</v>
      </c>
      <c r="U29" s="143">
        <v>3.2</v>
      </c>
    </row>
    <row r="30" spans="1:21" ht="12.75" customHeight="1" x14ac:dyDescent="0.2">
      <c r="A30" s="19" t="s">
        <v>14</v>
      </c>
      <c r="B30" s="20">
        <f t="shared" ref="B30:J30" si="21">(B26-B28+B29)</f>
        <v>38.487000000000336</v>
      </c>
      <c r="C30" s="20">
        <f t="shared" si="21"/>
        <v>67.715999999999724</v>
      </c>
      <c r="D30" s="20">
        <f t="shared" si="21"/>
        <v>69.064000000000135</v>
      </c>
      <c r="E30" s="20">
        <f t="shared" si="21"/>
        <v>65.33899999999943</v>
      </c>
      <c r="F30" s="20">
        <f t="shared" si="21"/>
        <v>610.51300000000106</v>
      </c>
      <c r="G30" s="20">
        <f t="shared" si="21"/>
        <v>622.42100000000391</v>
      </c>
      <c r="H30" s="20">
        <f t="shared" si="21"/>
        <v>796.40500000000281</v>
      </c>
      <c r="I30" s="20">
        <f t="shared" si="21"/>
        <v>971.76300000000344</v>
      </c>
      <c r="J30" s="20">
        <f t="shared" si="21"/>
        <v>714.20999999999844</v>
      </c>
      <c r="L30" s="6" t="s">
        <v>86</v>
      </c>
      <c r="M30" s="51"/>
      <c r="N30" s="51"/>
      <c r="O30" s="51"/>
      <c r="P30" s="51"/>
      <c r="Q30" s="156">
        <v>423.32</v>
      </c>
      <c r="R30" s="165">
        <v>855.73</v>
      </c>
      <c r="S30" s="190">
        <v>848.72</v>
      </c>
      <c r="T30" s="191">
        <v>1581.7809999999999</v>
      </c>
      <c r="U30" s="157">
        <v>1332.4</v>
      </c>
    </row>
    <row r="31" spans="1:21" ht="12.75" customHeight="1" x14ac:dyDescent="0.2">
      <c r="A31" s="16" t="s">
        <v>1</v>
      </c>
      <c r="B31" s="18"/>
      <c r="C31" s="52">
        <f t="shared" ref="C31:F31" si="22">(C30/B30-1)</f>
        <v>0.75945124327692803</v>
      </c>
      <c r="D31" s="52">
        <f t="shared" si="22"/>
        <v>1.9906669029482238E-2</v>
      </c>
      <c r="E31" s="52">
        <f t="shared" si="22"/>
        <v>-5.3935480134378211E-2</v>
      </c>
      <c r="F31" s="52">
        <f t="shared" si="22"/>
        <v>8.3437763051164904</v>
      </c>
      <c r="G31" s="52">
        <f>(G30/F30-1)</f>
        <v>1.950490816739836E-2</v>
      </c>
      <c r="H31" s="52">
        <f>(H30/G30-1)</f>
        <v>0.27952784369421635</v>
      </c>
      <c r="I31" s="52">
        <f t="shared" ref="I31:J31" si="23">(I30/H30-1)</f>
        <v>0.22018696517475411</v>
      </c>
      <c r="J31" s="52">
        <f t="shared" si="23"/>
        <v>-0.26503684540366745</v>
      </c>
      <c r="L31" s="202" t="s">
        <v>158</v>
      </c>
      <c r="Q31" s="6"/>
      <c r="R31" s="11"/>
      <c r="S31" s="6"/>
      <c r="T31" s="6"/>
      <c r="U31" s="203">
        <v>12.5</v>
      </c>
    </row>
    <row r="32" spans="1:21" ht="12.75" customHeight="1" x14ac:dyDescent="0.2">
      <c r="A32" s="16" t="s">
        <v>93</v>
      </c>
      <c r="B32" s="18"/>
      <c r="C32" s="44"/>
      <c r="D32" s="44"/>
      <c r="E32" s="44"/>
      <c r="F32" s="44"/>
      <c r="G32" s="44">
        <f>((G30/D30)^(1/3)-1)</f>
        <v>1.0810259845598322</v>
      </c>
      <c r="H32" s="44">
        <f>((H30/E30)^(1/3)-1)</f>
        <v>1.3013738015529364</v>
      </c>
      <c r="I32" s="44">
        <f>((I30/F30)^(1/3)-1)</f>
        <v>0.16758493036294619</v>
      </c>
      <c r="J32" s="44">
        <f>((J30/G30)^(1/3)-1)</f>
        <v>4.6920964402686227E-2</v>
      </c>
      <c r="L32" s="19" t="s">
        <v>40</v>
      </c>
      <c r="M32" s="39">
        <f t="shared" ref="M32:S32" si="24">SUM(M33:M38)</f>
        <v>695.73500000000001</v>
      </c>
      <c r="N32" s="39">
        <f t="shared" si="24"/>
        <v>638.67399999999998</v>
      </c>
      <c r="O32" s="39">
        <f t="shared" si="24"/>
        <v>916.80700000000002</v>
      </c>
      <c r="P32" s="39">
        <f t="shared" si="24"/>
        <v>1040.673</v>
      </c>
      <c r="Q32" s="39">
        <f>SUM(Q33:Q38)</f>
        <v>6465.89</v>
      </c>
      <c r="R32" s="39">
        <f t="shared" si="24"/>
        <v>7974.12</v>
      </c>
      <c r="S32" s="39">
        <f t="shared" si="24"/>
        <v>6283.4699999999984</v>
      </c>
      <c r="T32" s="125">
        <f t="shared" ref="T32:U32" si="25">SUM(T33:T38)</f>
        <v>7973.09</v>
      </c>
      <c r="U32" s="39">
        <f t="shared" si="25"/>
        <v>3987.1</v>
      </c>
    </row>
    <row r="33" spans="1:26" ht="12.75" customHeight="1" x14ac:dyDescent="0.2">
      <c r="A33" s="3" t="s">
        <v>88</v>
      </c>
      <c r="B33" s="42">
        <v>5.75</v>
      </c>
      <c r="C33" s="42">
        <v>-3.69</v>
      </c>
      <c r="D33" s="42">
        <v>4.8899999999999997</v>
      </c>
      <c r="E33" s="42">
        <v>4.5599999999999996</v>
      </c>
      <c r="F33" s="175">
        <v>10.3</v>
      </c>
      <c r="G33" s="176">
        <v>9.7200000000000006</v>
      </c>
      <c r="H33" s="176">
        <v>16.78</v>
      </c>
      <c r="I33" s="176">
        <v>17.52</v>
      </c>
      <c r="J33" s="43">
        <v>11.33</v>
      </c>
      <c r="L33" s="6" t="s">
        <v>77</v>
      </c>
      <c r="M33" s="66">
        <v>441.41899999999998</v>
      </c>
      <c r="N33" s="64">
        <v>575.11599999999999</v>
      </c>
      <c r="O33" s="64">
        <v>857.86199999999997</v>
      </c>
      <c r="P33" s="64">
        <v>946.91300000000001</v>
      </c>
      <c r="Q33" s="197">
        <v>5633.84</v>
      </c>
      <c r="R33" s="197">
        <v>5612.79</v>
      </c>
      <c r="S33" s="167">
        <v>5175.6899999999996</v>
      </c>
      <c r="T33" s="198">
        <v>7548.7</v>
      </c>
      <c r="U33" s="6">
        <v>3397.5</v>
      </c>
    </row>
    <row r="34" spans="1:26" ht="12.75" customHeight="1" x14ac:dyDescent="0.2">
      <c r="A34" s="23" t="s">
        <v>1</v>
      </c>
      <c r="B34" s="24"/>
      <c r="C34" s="44">
        <f t="shared" ref="C34:F34" si="26">(C33/B33-1)</f>
        <v>-1.6417391304347826</v>
      </c>
      <c r="D34" s="44">
        <f t="shared" si="26"/>
        <v>-2.3252032520325203</v>
      </c>
      <c r="E34" s="44">
        <f t="shared" si="26"/>
        <v>-6.7484662576687171E-2</v>
      </c>
      <c r="F34" s="44">
        <f t="shared" si="26"/>
        <v>1.2587719298245617</v>
      </c>
      <c r="G34" s="44">
        <f>(G33/F33-1)</f>
        <v>-5.6310679611650483E-2</v>
      </c>
      <c r="H34" s="44">
        <f>(H33/G33-1)</f>
        <v>0.72633744855967075</v>
      </c>
      <c r="I34" s="44">
        <f t="shared" ref="I34:J34" si="27">(I33/H33-1)</f>
        <v>4.4100119189511178E-2</v>
      </c>
      <c r="J34" s="44">
        <f t="shared" si="27"/>
        <v>-0.35331050228310501</v>
      </c>
      <c r="L34" s="6" t="s">
        <v>78</v>
      </c>
      <c r="M34" s="66">
        <v>246.947</v>
      </c>
      <c r="N34" s="64">
        <v>52.713999999999999</v>
      </c>
      <c r="O34" s="64">
        <v>44.134</v>
      </c>
      <c r="P34" s="64">
        <v>74.463999999999999</v>
      </c>
      <c r="Q34" s="64">
        <v>572.38</v>
      </c>
      <c r="R34" s="64">
        <v>657.22</v>
      </c>
      <c r="S34" s="192">
        <v>275.02</v>
      </c>
      <c r="T34" s="193">
        <v>273.36</v>
      </c>
      <c r="U34" s="6">
        <v>241.6</v>
      </c>
    </row>
    <row r="35" spans="1:26" ht="12.75" customHeight="1" x14ac:dyDescent="0.2">
      <c r="A35" s="23" t="s">
        <v>90</v>
      </c>
      <c r="B35" s="24"/>
      <c r="C35" s="31"/>
      <c r="D35" s="31"/>
      <c r="E35" s="25"/>
      <c r="F35" s="25"/>
      <c r="G35" s="44">
        <f>((G33/D33)^(1/3)-1)</f>
        <v>0.25733923722973473</v>
      </c>
      <c r="H35" s="44">
        <f>-((H33/E33)^(1/3)-1)</f>
        <v>-0.54386399127627039</v>
      </c>
      <c r="I35" s="44">
        <f>-((I33/F33)^(1/3)-1)</f>
        <v>-0.19371034899257245</v>
      </c>
      <c r="J35" s="44">
        <f>-((J33/G33)^(1/3)-1)</f>
        <v>-5.2417065160618614E-2</v>
      </c>
      <c r="L35" s="6" t="s">
        <v>73</v>
      </c>
      <c r="M35" s="51"/>
      <c r="N35" s="51"/>
      <c r="O35" s="51"/>
      <c r="P35" s="37"/>
      <c r="Q35" s="67">
        <v>50.91</v>
      </c>
      <c r="R35" s="67">
        <v>1535.36</v>
      </c>
      <c r="S35" s="179">
        <v>644.41</v>
      </c>
      <c r="T35" s="180">
        <v>25.3</v>
      </c>
      <c r="U35" s="6">
        <v>239.5</v>
      </c>
    </row>
    <row r="36" spans="1:26" ht="12.75" customHeight="1" x14ac:dyDescent="0.2">
      <c r="L36" s="6" t="s">
        <v>145</v>
      </c>
      <c r="M36" s="37"/>
      <c r="N36" s="37"/>
      <c r="O36" s="37"/>
      <c r="P36" s="37"/>
      <c r="Q36" s="156" t="s">
        <v>140</v>
      </c>
      <c r="R36" s="153">
        <v>36.06</v>
      </c>
      <c r="S36" s="168">
        <v>40.94</v>
      </c>
      <c r="T36" s="181">
        <v>45.99</v>
      </c>
      <c r="U36" s="6">
        <v>40.6</v>
      </c>
      <c r="X36" s="148"/>
      <c r="Y36" s="148"/>
    </row>
    <row r="37" spans="1:26" ht="12.75" customHeight="1" x14ac:dyDescent="0.2">
      <c r="L37" s="6" t="s">
        <v>143</v>
      </c>
      <c r="M37" s="37"/>
      <c r="N37" s="37"/>
      <c r="O37" s="37"/>
      <c r="P37" s="37"/>
      <c r="Q37" s="153">
        <v>133.08000000000001</v>
      </c>
      <c r="R37" s="153">
        <v>93.44</v>
      </c>
      <c r="S37" s="168">
        <v>96.54</v>
      </c>
      <c r="T37" s="168">
        <v>21.1</v>
      </c>
      <c r="U37" s="156" t="s">
        <v>140</v>
      </c>
    </row>
    <row r="38" spans="1:26" ht="12.75" customHeight="1" x14ac:dyDescent="0.2">
      <c r="A38" s="2" t="s">
        <v>15</v>
      </c>
      <c r="L38" s="6" t="s">
        <v>65</v>
      </c>
      <c r="M38" s="66">
        <v>7.3689999999999998</v>
      </c>
      <c r="N38" s="64">
        <v>10.843999999999999</v>
      </c>
      <c r="O38" s="64">
        <v>14.811</v>
      </c>
      <c r="P38" s="64">
        <v>19.295999999999999</v>
      </c>
      <c r="Q38" s="64">
        <v>75.680000000000007</v>
      </c>
      <c r="R38" s="64">
        <v>39.25</v>
      </c>
      <c r="S38" s="192">
        <v>50.87</v>
      </c>
      <c r="T38" s="193">
        <v>58.64</v>
      </c>
      <c r="U38" s="143">
        <v>67.900000000000006</v>
      </c>
      <c r="Y38" s="148"/>
    </row>
    <row r="39" spans="1:26" ht="12.75" customHeight="1" x14ac:dyDescent="0.2">
      <c r="A39" s="89" t="s">
        <v>115</v>
      </c>
      <c r="B39" s="90" t="s">
        <v>25</v>
      </c>
      <c r="C39" s="90" t="s">
        <v>26</v>
      </c>
      <c r="D39" s="90" t="s">
        <v>27</v>
      </c>
      <c r="E39" s="90" t="s">
        <v>28</v>
      </c>
      <c r="F39" s="90" t="s">
        <v>89</v>
      </c>
      <c r="G39" s="90" t="s">
        <v>113</v>
      </c>
      <c r="H39" s="91" t="s">
        <v>139</v>
      </c>
      <c r="I39" s="127" t="s">
        <v>141</v>
      </c>
      <c r="J39" s="91" t="s">
        <v>157</v>
      </c>
      <c r="L39" s="19" t="s">
        <v>41</v>
      </c>
      <c r="M39" s="39">
        <f>(M21-M32-M9)</f>
        <v>499.99500000000023</v>
      </c>
      <c r="N39" s="39">
        <f>(N21-N32-N9)</f>
        <v>374.47900000000004</v>
      </c>
      <c r="O39" s="39">
        <f>(O21-O32-O9)</f>
        <v>423.37999999999965</v>
      </c>
      <c r="P39" s="39">
        <f>(P21-P32-P9)</f>
        <v>633.44100000000026</v>
      </c>
      <c r="Q39" s="39">
        <f>(Q21-Q32)-Q9</f>
        <v>1512.4899999999986</v>
      </c>
      <c r="R39" s="39">
        <f>(R21-R32)-R9</f>
        <v>1562.0100000000007</v>
      </c>
      <c r="S39" s="39">
        <f>(S21-S32)-S9</f>
        <v>3079.7860000000019</v>
      </c>
      <c r="T39" s="39">
        <f>(T21-T32)-T9</f>
        <v>3757.2509999999975</v>
      </c>
      <c r="U39" s="39">
        <f>(U21-U32)-U9</f>
        <v>3754.1999999999985</v>
      </c>
    </row>
    <row r="40" spans="1:26" ht="12.75" customHeight="1" x14ac:dyDescent="0.2">
      <c r="A40" s="3" t="s">
        <v>16</v>
      </c>
      <c r="B40" s="35">
        <v>182.06</v>
      </c>
      <c r="C40" s="35">
        <v>67.819999999999993</v>
      </c>
      <c r="D40" s="86">
        <v>61.216999999999999</v>
      </c>
      <c r="E40" s="36">
        <v>82.111000000000004</v>
      </c>
      <c r="F40" s="82">
        <f>54.41</f>
        <v>54.41</v>
      </c>
      <c r="G40" s="45">
        <f>F45</f>
        <v>49.209999999999951</v>
      </c>
      <c r="H40" s="87">
        <f>G45</f>
        <v>1360.2800000000002</v>
      </c>
      <c r="I40" s="128">
        <v>172.916</v>
      </c>
      <c r="J40" s="87">
        <v>819.46199999999999</v>
      </c>
      <c r="L40" s="6" t="s">
        <v>42</v>
      </c>
      <c r="M40" s="66">
        <v>67.811000000000007</v>
      </c>
      <c r="N40" s="64">
        <v>68.081999999999994</v>
      </c>
      <c r="O40" s="64">
        <v>73.046000000000006</v>
      </c>
      <c r="P40" s="64">
        <v>74.867000000000004</v>
      </c>
      <c r="Q40" s="64">
        <v>396.85</v>
      </c>
      <c r="R40" s="64">
        <v>266.08</v>
      </c>
      <c r="S40" s="192">
        <v>254.53</v>
      </c>
      <c r="T40" s="193">
        <v>226.94</v>
      </c>
      <c r="U40" s="6">
        <v>241.6</v>
      </c>
    </row>
    <row r="41" spans="1:26" s="72" customFormat="1" ht="12.75" customHeight="1" x14ac:dyDescent="0.2">
      <c r="A41" s="6" t="s">
        <v>17</v>
      </c>
      <c r="B41" s="71">
        <v>331.6</v>
      </c>
      <c r="C41" s="71">
        <v>343.33</v>
      </c>
      <c r="D41" s="85">
        <v>222.691</v>
      </c>
      <c r="E41" s="85">
        <v>89.847999999999999</v>
      </c>
      <c r="F41" s="83">
        <v>1373.5</v>
      </c>
      <c r="G41" s="71">
        <v>2143.0500000000002</v>
      </c>
      <c r="H41" s="88">
        <v>-598.94000000000005</v>
      </c>
      <c r="I41" s="129">
        <v>4509.3760000000002</v>
      </c>
      <c r="J41" s="11">
        <v>-1187.489</v>
      </c>
      <c r="K41" s="10"/>
      <c r="L41" s="75" t="s">
        <v>114</v>
      </c>
      <c r="M41" s="73">
        <v>169.17099999999999</v>
      </c>
      <c r="N41" s="74">
        <v>102.688</v>
      </c>
      <c r="O41" s="74">
        <v>103.746</v>
      </c>
      <c r="P41" s="74">
        <v>116.26300000000001</v>
      </c>
      <c r="Q41" s="199">
        <v>36.4</v>
      </c>
      <c r="R41" s="199">
        <v>36.4</v>
      </c>
      <c r="S41" s="199">
        <v>36.4</v>
      </c>
      <c r="T41" s="199">
        <v>36.5</v>
      </c>
      <c r="U41" s="6">
        <v>36.5</v>
      </c>
    </row>
    <row r="42" spans="1:26" ht="12.75" customHeight="1" x14ac:dyDescent="0.2">
      <c r="A42" s="6" t="s">
        <v>74</v>
      </c>
      <c r="B42" s="37">
        <v>-661.48</v>
      </c>
      <c r="C42" s="37">
        <v>7.32</v>
      </c>
      <c r="D42" s="41">
        <v>23.937000000000001</v>
      </c>
      <c r="E42" s="41">
        <v>-86.762</v>
      </c>
      <c r="F42" s="84">
        <v>1.58</v>
      </c>
      <c r="G42" s="37">
        <v>-463.41</v>
      </c>
      <c r="H42" s="11">
        <v>42.59</v>
      </c>
      <c r="I42" s="129">
        <v>-1190.6199999999999</v>
      </c>
      <c r="J42" s="11">
        <v>-1354.904</v>
      </c>
      <c r="L42" s="6" t="s">
        <v>66</v>
      </c>
      <c r="M42" s="37"/>
      <c r="N42" s="37"/>
      <c r="O42" s="37"/>
      <c r="P42" s="37"/>
      <c r="Q42" s="68">
        <v>16.739999999999998</v>
      </c>
      <c r="R42" s="68">
        <v>11.71</v>
      </c>
      <c r="S42" s="194">
        <v>12.83</v>
      </c>
      <c r="T42" s="195">
        <v>17.260000000000002</v>
      </c>
      <c r="U42" s="6">
        <v>23.1</v>
      </c>
      <c r="X42" s="148"/>
    </row>
    <row r="43" spans="1:26" ht="12.75" customHeight="1" x14ac:dyDescent="0.2">
      <c r="A43" s="6" t="s">
        <v>18</v>
      </c>
      <c r="B43" s="37">
        <v>216.08</v>
      </c>
      <c r="C43" s="37">
        <v>-232.54</v>
      </c>
      <c r="D43" s="41">
        <v>-225.73400000000001</v>
      </c>
      <c r="E43" s="41">
        <v>-30.67</v>
      </c>
      <c r="F43" s="84">
        <v>-1380.28</v>
      </c>
      <c r="G43" s="37">
        <v>-368.57</v>
      </c>
      <c r="H43" s="11">
        <v>-631.01</v>
      </c>
      <c r="I43" s="129">
        <v>-2672.2080000000001</v>
      </c>
      <c r="J43" s="11">
        <v>2091.8470000000002</v>
      </c>
      <c r="L43" s="6" t="s">
        <v>154</v>
      </c>
      <c r="M43" s="45"/>
      <c r="N43" s="45"/>
      <c r="O43" s="45"/>
      <c r="P43" s="45"/>
      <c r="Q43" s="49">
        <v>36.450000000000003</v>
      </c>
      <c r="R43" s="80">
        <v>36.450000000000003</v>
      </c>
      <c r="S43" s="84">
        <v>36.450000000000003</v>
      </c>
      <c r="T43" s="204">
        <v>36.5</v>
      </c>
      <c r="U43" s="6">
        <v>36.5</v>
      </c>
      <c r="Z43" s="148"/>
    </row>
    <row r="44" spans="1:26" ht="12.75" customHeight="1" x14ac:dyDescent="0.2">
      <c r="A44" s="3" t="s">
        <v>19</v>
      </c>
      <c r="B44" s="35">
        <f t="shared" ref="B44:F44" si="28">+B41+B42+B43</f>
        <v>-113.79999999999998</v>
      </c>
      <c r="C44" s="35">
        <f t="shared" si="28"/>
        <v>118.10999999999999</v>
      </c>
      <c r="D44" s="86">
        <f t="shared" si="28"/>
        <v>20.894000000000005</v>
      </c>
      <c r="E44" s="35">
        <f>+E41+E42+E43</f>
        <v>-27.584000000000003</v>
      </c>
      <c r="F44" s="35">
        <f t="shared" si="28"/>
        <v>-5.2000000000000455</v>
      </c>
      <c r="G44" s="35">
        <f>+G41+G42+G43</f>
        <v>1311.0700000000002</v>
      </c>
      <c r="H44" s="35">
        <f>+H41+H42+H43</f>
        <v>-1187.3600000000001</v>
      </c>
      <c r="I44" s="130">
        <f>+I41+I42+I43</f>
        <v>646.54800000000023</v>
      </c>
      <c r="J44" s="35">
        <f>+J41+J42+J43</f>
        <v>-450.54599999999982</v>
      </c>
      <c r="L44" s="19" t="s">
        <v>81</v>
      </c>
      <c r="M44" s="40">
        <f t="shared" ref="M44:U44" si="29">SUM(M14:M20)+M21</f>
        <v>3166.1610000000001</v>
      </c>
      <c r="N44" s="40">
        <f t="shared" si="29"/>
        <v>3147.1469999999999</v>
      </c>
      <c r="O44" s="40">
        <f t="shared" si="29"/>
        <v>3569.7669999999998</v>
      </c>
      <c r="P44" s="40">
        <f t="shared" si="29"/>
        <v>3779.4410000000003</v>
      </c>
      <c r="Q44" s="40">
        <f t="shared" si="29"/>
        <v>15941.978999999999</v>
      </c>
      <c r="R44" s="40">
        <f t="shared" si="29"/>
        <v>18271.649000000001</v>
      </c>
      <c r="S44" s="40">
        <f t="shared" si="29"/>
        <v>17959.034</v>
      </c>
      <c r="T44" s="40">
        <f t="shared" si="29"/>
        <v>18198.989999999998</v>
      </c>
      <c r="U44" s="40">
        <f t="shared" si="29"/>
        <v>17278.8</v>
      </c>
    </row>
    <row r="45" spans="1:26" ht="12.75" customHeight="1" x14ac:dyDescent="0.2">
      <c r="A45" s="3" t="s">
        <v>67</v>
      </c>
      <c r="B45" s="39">
        <f>+B40+B44-0.44</f>
        <v>67.820000000000022</v>
      </c>
      <c r="C45" s="39">
        <f t="shared" ref="C45:E45" si="30">+C40+C44</f>
        <v>185.92999999999998</v>
      </c>
      <c r="D45" s="40">
        <f t="shared" si="30"/>
        <v>82.111000000000004</v>
      </c>
      <c r="E45" s="39">
        <f t="shared" si="30"/>
        <v>54.527000000000001</v>
      </c>
      <c r="F45" s="39">
        <f>+F40+F44</f>
        <v>49.209999999999951</v>
      </c>
      <c r="G45" s="39">
        <f>+G40+G44</f>
        <v>1360.2800000000002</v>
      </c>
      <c r="H45" s="39">
        <f>+H40+H44</f>
        <v>172.92000000000007</v>
      </c>
      <c r="I45" s="125">
        <f>+I40+I44</f>
        <v>819.46400000000017</v>
      </c>
      <c r="J45" s="39">
        <f>+J40+J44</f>
        <v>368.91600000000017</v>
      </c>
      <c r="L45" s="19" t="s">
        <v>82</v>
      </c>
      <c r="M45" s="40">
        <f t="shared" ref="M45:U45" si="31">M42+M32+M10+M6+M40+M41+M43</f>
        <v>3263.8540000000003</v>
      </c>
      <c r="N45" s="40">
        <f t="shared" si="31"/>
        <v>3251.1529999999998</v>
      </c>
      <c r="O45" s="40">
        <f t="shared" si="31"/>
        <v>3620.665</v>
      </c>
      <c r="P45" s="40">
        <f t="shared" si="31"/>
        <v>3920.1550000000007</v>
      </c>
      <c r="Q45" s="40">
        <f t="shared" si="31"/>
        <v>15977.28</v>
      </c>
      <c r="R45" s="40">
        <f t="shared" si="31"/>
        <v>18189.778000000002</v>
      </c>
      <c r="S45" s="40">
        <f t="shared" si="31"/>
        <v>17810.969999999998</v>
      </c>
      <c r="T45" s="40">
        <f t="shared" si="31"/>
        <v>18205.664000000001</v>
      </c>
      <c r="U45" s="40">
        <f t="shared" si="31"/>
        <v>17302.5</v>
      </c>
      <c r="W45" s="6"/>
      <c r="Y45" s="144"/>
    </row>
    <row r="46" spans="1:26" ht="12.75" customHeight="1" x14ac:dyDescent="0.2">
      <c r="L46" s="95" t="s">
        <v>43</v>
      </c>
      <c r="M46" s="69"/>
      <c r="N46" s="69"/>
      <c r="O46" s="69"/>
      <c r="P46" s="69"/>
      <c r="Q46" s="69"/>
      <c r="R46" s="69"/>
      <c r="S46" s="69"/>
      <c r="T46" s="69"/>
      <c r="U46" s="6"/>
    </row>
    <row r="47" spans="1:26" ht="12.75" customHeight="1" x14ac:dyDescent="0.2">
      <c r="A47" s="9" t="s">
        <v>20</v>
      </c>
      <c r="B47" s="57" t="s">
        <v>25</v>
      </c>
      <c r="C47" s="57" t="s">
        <v>26</v>
      </c>
      <c r="D47" s="57" t="s">
        <v>27</v>
      </c>
      <c r="E47" s="90" t="s">
        <v>28</v>
      </c>
      <c r="F47" s="90" t="s">
        <v>89</v>
      </c>
      <c r="G47" s="92" t="s">
        <v>113</v>
      </c>
      <c r="H47" s="92" t="s">
        <v>139</v>
      </c>
      <c r="I47" s="123" t="s">
        <v>141</v>
      </c>
      <c r="J47" s="91" t="s">
        <v>157</v>
      </c>
      <c r="L47" s="3" t="s">
        <v>118</v>
      </c>
      <c r="M47" s="4" t="s">
        <v>25</v>
      </c>
      <c r="N47" s="4" t="s">
        <v>26</v>
      </c>
      <c r="O47" s="4" t="s">
        <v>27</v>
      </c>
      <c r="P47" s="93" t="s">
        <v>28</v>
      </c>
      <c r="Q47" s="91" t="s">
        <v>89</v>
      </c>
      <c r="R47" s="127" t="s">
        <v>113</v>
      </c>
      <c r="S47" s="91" t="s">
        <v>139</v>
      </c>
      <c r="T47" s="92" t="s">
        <v>141</v>
      </c>
      <c r="U47" s="92" t="s">
        <v>157</v>
      </c>
    </row>
    <row r="48" spans="1:26" ht="12.75" customHeight="1" x14ac:dyDescent="0.2">
      <c r="A48" s="3" t="s">
        <v>21</v>
      </c>
      <c r="B48" s="39" t="e">
        <f>SUM(#REF!)</f>
        <v>#REF!</v>
      </c>
      <c r="C48" s="39" t="e">
        <f>SUM(#REF!)</f>
        <v>#REF!</v>
      </c>
      <c r="D48" s="39" t="e">
        <f>SUM(#REF!)</f>
        <v>#REF!</v>
      </c>
      <c r="E48" s="39" t="e">
        <f>SUM(#REF!)</f>
        <v>#REF!</v>
      </c>
      <c r="F48" s="39">
        <f>F41</f>
        <v>1373.5</v>
      </c>
      <c r="G48" s="39">
        <f t="shared" ref="G48:J48" si="32">G41</f>
        <v>2143.0500000000002</v>
      </c>
      <c r="H48" s="39">
        <f t="shared" si="32"/>
        <v>-598.94000000000005</v>
      </c>
      <c r="I48" s="39">
        <f t="shared" si="32"/>
        <v>4509.3760000000002</v>
      </c>
      <c r="J48" s="39">
        <f t="shared" si="32"/>
        <v>-1187.489</v>
      </c>
      <c r="L48" s="5" t="s">
        <v>44</v>
      </c>
      <c r="M48" s="32">
        <v>25.65</v>
      </c>
      <c r="N48" s="32">
        <v>14.8</v>
      </c>
      <c r="O48" s="32">
        <v>35.950000000000003</v>
      </c>
      <c r="P48" s="32">
        <v>38.5</v>
      </c>
      <c r="Q48" s="32">
        <v>99.2</v>
      </c>
      <c r="R48" s="135">
        <v>40.950000000000003</v>
      </c>
      <c r="S48" s="159">
        <v>79.8</v>
      </c>
      <c r="T48" s="159">
        <v>95.6</v>
      </c>
      <c r="U48" s="1">
        <v>93.04</v>
      </c>
      <c r="X48" s="1" t="s">
        <v>155</v>
      </c>
      <c r="Y48" s="1">
        <v>4.46</v>
      </c>
    </row>
    <row r="49" spans="1:25" ht="12.75" customHeight="1" x14ac:dyDescent="0.2">
      <c r="A49" s="6" t="s">
        <v>22</v>
      </c>
      <c r="B49" s="49"/>
      <c r="C49" s="47">
        <v>-51.9</v>
      </c>
      <c r="D49" s="47">
        <v>-49.49</v>
      </c>
      <c r="E49" s="47">
        <v>-96.44</v>
      </c>
      <c r="F49" s="47">
        <v>266.95</v>
      </c>
      <c r="G49" s="48">
        <v>106.9</v>
      </c>
      <c r="H49" s="48">
        <v>121.9</v>
      </c>
      <c r="I49" s="131">
        <v>456.8</v>
      </c>
      <c r="J49" s="48">
        <v>2072.1849999999999</v>
      </c>
      <c r="L49" s="20" t="s">
        <v>45</v>
      </c>
      <c r="M49" s="28">
        <f>B33</f>
        <v>5.75</v>
      </c>
      <c r="N49" s="28">
        <v>4.1900000000000004</v>
      </c>
      <c r="O49" s="28">
        <f t="shared" ref="O49:T49" si="33">D33</f>
        <v>4.8899999999999997</v>
      </c>
      <c r="P49" s="28">
        <f t="shared" si="33"/>
        <v>4.5599999999999996</v>
      </c>
      <c r="Q49" s="28">
        <f t="shared" si="33"/>
        <v>10.3</v>
      </c>
      <c r="R49" s="28">
        <f t="shared" si="33"/>
        <v>9.7200000000000006</v>
      </c>
      <c r="S49" s="28">
        <f t="shared" si="33"/>
        <v>16.78</v>
      </c>
      <c r="T49" s="28">
        <f t="shared" si="33"/>
        <v>17.52</v>
      </c>
      <c r="U49" s="28">
        <f>J33+Y48</f>
        <v>15.79</v>
      </c>
    </row>
    <row r="50" spans="1:25" ht="12.75" customHeight="1" x14ac:dyDescent="0.2">
      <c r="A50" s="19" t="s">
        <v>23</v>
      </c>
      <c r="B50" s="45"/>
      <c r="C50" s="39" t="e">
        <f t="shared" ref="C50:E50" si="34">SUM(C48:C49)</f>
        <v>#REF!</v>
      </c>
      <c r="D50" s="39" t="e">
        <f t="shared" si="34"/>
        <v>#REF!</v>
      </c>
      <c r="E50" s="39" t="e">
        <f t="shared" si="34"/>
        <v>#REF!</v>
      </c>
      <c r="F50" s="39">
        <f>F48-F49</f>
        <v>1106.55</v>
      </c>
      <c r="G50" s="40">
        <f>G48-G49</f>
        <v>2036.15</v>
      </c>
      <c r="H50" s="40">
        <f t="shared" ref="H50:J50" si="35">H48-H49</f>
        <v>-720.84</v>
      </c>
      <c r="I50" s="40">
        <f t="shared" si="35"/>
        <v>4052.576</v>
      </c>
      <c r="J50" s="40">
        <f t="shared" si="35"/>
        <v>-3259.674</v>
      </c>
      <c r="L50" s="29" t="s">
        <v>46</v>
      </c>
      <c r="M50" s="27">
        <f t="shared" ref="M50:U50" si="36">(M6*1000000)/B53</f>
        <v>52.393286219081276</v>
      </c>
      <c r="N50" s="27">
        <f t="shared" si="36"/>
        <v>54.842332155477031</v>
      </c>
      <c r="O50" s="27">
        <f t="shared" si="36"/>
        <v>58.516113074204945</v>
      </c>
      <c r="P50" s="27">
        <f t="shared" si="36"/>
        <v>63.066713780918725</v>
      </c>
      <c r="Q50" s="27">
        <f t="shared" si="36"/>
        <v>496.1349823321554</v>
      </c>
      <c r="R50" s="136">
        <f t="shared" si="36"/>
        <v>475.22399083152936</v>
      </c>
      <c r="S50" s="27">
        <f t="shared" si="36"/>
        <v>478.90667125566461</v>
      </c>
      <c r="T50" s="27">
        <f t="shared" si="36"/>
        <v>159.20825366339494</v>
      </c>
      <c r="U50" s="27">
        <f t="shared" si="36"/>
        <v>167.07636575212359</v>
      </c>
    </row>
    <row r="51" spans="1:25" ht="12.75" customHeight="1" x14ac:dyDescent="0.2">
      <c r="A51" s="1" t="s">
        <v>24</v>
      </c>
      <c r="L51" s="7" t="s">
        <v>47</v>
      </c>
      <c r="M51" s="33">
        <v>0</v>
      </c>
      <c r="N51" s="46">
        <v>0</v>
      </c>
      <c r="O51" s="46">
        <v>0</v>
      </c>
      <c r="P51" s="46">
        <v>1</v>
      </c>
      <c r="Q51" s="34">
        <v>1.2</v>
      </c>
      <c r="R51" s="137">
        <v>1.2</v>
      </c>
      <c r="S51" s="159">
        <v>5</v>
      </c>
      <c r="T51" s="196">
        <v>5</v>
      </c>
      <c r="U51" s="159">
        <v>5</v>
      </c>
    </row>
    <row r="52" spans="1:25" ht="12.75" customHeight="1" x14ac:dyDescent="0.2">
      <c r="L52" s="7" t="s">
        <v>48</v>
      </c>
      <c r="M52" s="27">
        <f t="shared" ref="M52:P52" si="37">(M48/M49)</f>
        <v>4.4608695652173909</v>
      </c>
      <c r="N52" s="27">
        <f t="shared" si="37"/>
        <v>3.532219570405728</v>
      </c>
      <c r="O52" s="27">
        <f t="shared" si="37"/>
        <v>7.3517382413087944</v>
      </c>
      <c r="P52" s="27">
        <f t="shared" si="37"/>
        <v>8.442982456140351</v>
      </c>
      <c r="Q52" s="27">
        <f>(Q48/Q49)</f>
        <v>9.6310679611650478</v>
      </c>
      <c r="R52" s="136">
        <f>(R48/R49)</f>
        <v>4.2129629629629628</v>
      </c>
      <c r="S52" s="27">
        <f>(S48/S49)</f>
        <v>4.7556615017878423</v>
      </c>
      <c r="T52" s="27">
        <f>(T48/T49)</f>
        <v>5.4566210045662098</v>
      </c>
      <c r="U52" s="27">
        <f>(U48/U49)</f>
        <v>5.8923369221025972</v>
      </c>
    </row>
    <row r="53" spans="1:25" ht="12.75" customHeight="1" x14ac:dyDescent="0.25">
      <c r="A53" s="6" t="s">
        <v>68</v>
      </c>
      <c r="B53" s="77">
        <v>14150000</v>
      </c>
      <c r="C53" s="77">
        <v>14150000</v>
      </c>
      <c r="D53" s="81">
        <v>14150000</v>
      </c>
      <c r="E53" s="50">
        <v>14150000</v>
      </c>
      <c r="F53" s="50">
        <v>14150000</v>
      </c>
      <c r="G53" s="50">
        <v>15706000</v>
      </c>
      <c r="H53" s="50">
        <v>17433000</v>
      </c>
      <c r="I53" s="132">
        <v>59179055</v>
      </c>
      <c r="J53" s="50">
        <v>60103055</v>
      </c>
      <c r="L53" s="7" t="s">
        <v>49</v>
      </c>
      <c r="M53" s="27">
        <f t="shared" ref="M53:P53" si="38">(M48/M50)</f>
        <v>0.48956654279605855</v>
      </c>
      <c r="N53" s="27">
        <f t="shared" si="38"/>
        <v>0.26986452651288179</v>
      </c>
      <c r="O53" s="27">
        <f t="shared" si="38"/>
        <v>0.61436069676076055</v>
      </c>
      <c r="P53" s="27">
        <f t="shared" si="38"/>
        <v>0.61046466022855383</v>
      </c>
      <c r="Q53" s="27">
        <f t="shared" ref="Q53:U53" si="39">(Q48/Q50)</f>
        <v>0.19994558644846172</v>
      </c>
      <c r="R53" s="136">
        <f t="shared" si="39"/>
        <v>8.6169892072046297E-2</v>
      </c>
      <c r="S53" s="27">
        <f t="shared" si="39"/>
        <v>0.16662954347820877</v>
      </c>
      <c r="T53" s="27">
        <f t="shared" si="39"/>
        <v>0.60047138135263833</v>
      </c>
      <c r="U53" s="27">
        <f t="shared" si="39"/>
        <v>0.55687110251150196</v>
      </c>
      <c r="V53"/>
      <c r="W53" s="1">
        <v>9.0873634945397814</v>
      </c>
      <c r="X53" s="1" t="s">
        <v>156</v>
      </c>
      <c r="Y53" s="1">
        <v>398</v>
      </c>
    </row>
    <row r="54" spans="1:25" ht="12.75" customHeight="1" x14ac:dyDescent="0.2">
      <c r="A54" s="6" t="s">
        <v>69</v>
      </c>
      <c r="B54" s="47">
        <f t="shared" ref="B54:J54" si="40">B53*M48/1000000</f>
        <v>362.94749999999999</v>
      </c>
      <c r="C54" s="48">
        <f t="shared" si="40"/>
        <v>209.42</v>
      </c>
      <c r="D54" s="48">
        <f t="shared" si="40"/>
        <v>508.69250000000005</v>
      </c>
      <c r="E54" s="48">
        <f t="shared" si="40"/>
        <v>544.77499999999998</v>
      </c>
      <c r="F54" s="48">
        <f t="shared" si="40"/>
        <v>1403.68</v>
      </c>
      <c r="G54" s="48">
        <f t="shared" si="40"/>
        <v>643.16070000000002</v>
      </c>
      <c r="H54" s="48">
        <f t="shared" si="40"/>
        <v>1391.1533999999999</v>
      </c>
      <c r="I54" s="131">
        <f t="shared" si="40"/>
        <v>5657.5176579999998</v>
      </c>
      <c r="J54" s="48">
        <f t="shared" si="40"/>
        <v>5591.9882372000011</v>
      </c>
      <c r="L54" s="7" t="s">
        <v>50</v>
      </c>
      <c r="M54" s="27">
        <f t="shared" ref="M54:T54" si="41">B57/B16</f>
        <v>7.2624175107427771</v>
      </c>
      <c r="N54" s="27">
        <f t="shared" si="41"/>
        <v>5.5018805772765651</v>
      </c>
      <c r="O54" s="27">
        <f t="shared" si="41"/>
        <v>4.9659833987865625</v>
      </c>
      <c r="P54" s="27">
        <f t="shared" si="41"/>
        <v>7.4662107659198007</v>
      </c>
      <c r="Q54" s="27">
        <f t="shared" si="41"/>
        <v>1.6892487539746828</v>
      </c>
      <c r="R54" s="136">
        <f t="shared" si="41"/>
        <v>0.9127438726951449</v>
      </c>
      <c r="S54" s="27">
        <f t="shared" si="41"/>
        <v>1.8669977495202172</v>
      </c>
      <c r="T54" s="27">
        <f t="shared" si="41"/>
        <v>2.4493985463402805</v>
      </c>
      <c r="U54" s="27">
        <f>J57/(Y53+J16)</f>
        <v>3.767698249927272</v>
      </c>
      <c r="W54" s="1">
        <v>1.7568297480408381</v>
      </c>
    </row>
    <row r="55" spans="1:25" ht="12.75" customHeight="1" x14ac:dyDescent="0.2">
      <c r="A55" s="6" t="s">
        <v>72</v>
      </c>
      <c r="B55" s="47">
        <f t="shared" ref="B55" si="42">M10</f>
        <v>1589.7719999999999</v>
      </c>
      <c r="C55" s="48">
        <f t="shared" ref="C55:G55" si="43">N10</f>
        <v>1665.69</v>
      </c>
      <c r="D55" s="48">
        <f t="shared" si="43"/>
        <v>1699.0629999999999</v>
      </c>
      <c r="E55" s="48">
        <f t="shared" si="43"/>
        <v>1795.9580000000001</v>
      </c>
      <c r="F55" s="48">
        <f t="shared" si="43"/>
        <v>2004.6399999999999</v>
      </c>
      <c r="G55" s="48">
        <f t="shared" si="43"/>
        <v>2401.15</v>
      </c>
      <c r="H55" s="48">
        <f>S10</f>
        <v>2838.5099999999998</v>
      </c>
      <c r="I55" s="131">
        <f>T10</f>
        <v>493.58</v>
      </c>
      <c r="J55" s="48">
        <f>U10</f>
        <v>2935.9</v>
      </c>
      <c r="L55" s="8" t="s">
        <v>51</v>
      </c>
      <c r="M55" s="44">
        <f t="shared" ref="M55:U55" si="44">(B26/M6)</f>
        <v>5.191369972955337E-2</v>
      </c>
      <c r="N55" s="44">
        <f t="shared" si="44"/>
        <v>8.7260750058954381E-2</v>
      </c>
      <c r="O55" s="44">
        <f t="shared" si="44"/>
        <v>8.3410325807998439E-2</v>
      </c>
      <c r="P55" s="44">
        <f t="shared" si="44"/>
        <v>7.3217659464316687E-2</v>
      </c>
      <c r="Q55" s="44">
        <f t="shared" si="44"/>
        <v>8.3809546871861942E-2</v>
      </c>
      <c r="R55" s="126">
        <f t="shared" si="44"/>
        <v>7.4363453372970151E-2</v>
      </c>
      <c r="S55" s="44">
        <f t="shared" si="44"/>
        <v>9.8527569297550383E-2</v>
      </c>
      <c r="T55" s="44">
        <f t="shared" si="44"/>
        <v>0.10780887376650386</v>
      </c>
      <c r="U55" s="44">
        <f t="shared" si="44"/>
        <v>6.7707980640920803E-2</v>
      </c>
      <c r="W55" s="1">
        <v>11.843864928117709</v>
      </c>
    </row>
    <row r="56" spans="1:25" ht="12.75" customHeight="1" x14ac:dyDescent="0.2">
      <c r="A56" s="6" t="s">
        <v>70</v>
      </c>
      <c r="B56" s="47">
        <f t="shared" ref="B56:I56" si="45">M24</f>
        <v>59.843000000000004</v>
      </c>
      <c r="C56" s="48">
        <f t="shared" si="45"/>
        <v>61.216999999999999</v>
      </c>
      <c r="D56" s="48">
        <f t="shared" si="45"/>
        <v>82.111000000000004</v>
      </c>
      <c r="E56" s="48">
        <f t="shared" si="45"/>
        <v>54.527000000000001</v>
      </c>
      <c r="F56" s="48">
        <f t="shared" si="45"/>
        <v>49.21</v>
      </c>
      <c r="G56" s="48">
        <f t="shared" si="45"/>
        <v>1360.28</v>
      </c>
      <c r="H56" s="48">
        <f t="shared" si="45"/>
        <v>172.92</v>
      </c>
      <c r="I56" s="131">
        <f t="shared" si="45"/>
        <v>819.46</v>
      </c>
      <c r="J56" s="48">
        <v>368.9</v>
      </c>
      <c r="L56" s="8" t="s">
        <v>52</v>
      </c>
      <c r="M56" s="44">
        <f>(B23+B21)/M11</f>
        <v>0.10904848194047298</v>
      </c>
      <c r="N56" s="44">
        <f>(C23+C21)/N11</f>
        <v>0.14404670053717245</v>
      </c>
      <c r="O56" s="44">
        <f t="shared" ref="O56:U56" si="46">(D16-D20)/O11</f>
        <v>0.23461173598917084</v>
      </c>
      <c r="P56" s="44">
        <f t="shared" si="46"/>
        <v>0.13433273818345168</v>
      </c>
      <c r="Q56" s="44">
        <f t="shared" si="46"/>
        <v>0.19206802353694777</v>
      </c>
      <c r="R56" s="126">
        <f t="shared" si="46"/>
        <v>0.13398625034540418</v>
      </c>
      <c r="S56" s="44">
        <f t="shared" si="46"/>
        <v>0.15276782849108253</v>
      </c>
      <c r="T56" s="44">
        <f t="shared" si="46"/>
        <v>0.17373858010802248</v>
      </c>
      <c r="U56" s="44">
        <f t="shared" si="46"/>
        <v>0.10125137736270669</v>
      </c>
      <c r="W56" s="1">
        <v>0.11798682444035093</v>
      </c>
    </row>
    <row r="57" spans="1:25" ht="12.75" customHeight="1" x14ac:dyDescent="0.2">
      <c r="A57" s="23" t="s">
        <v>71</v>
      </c>
      <c r="B57" s="39">
        <f t="shared" ref="B57:H57" si="47">B54+B55-B56</f>
        <v>1892.8764999999999</v>
      </c>
      <c r="C57" s="39">
        <f t="shared" si="47"/>
        <v>1813.893</v>
      </c>
      <c r="D57" s="39">
        <f t="shared" si="47"/>
        <v>2125.6444999999999</v>
      </c>
      <c r="E57" s="39">
        <f t="shared" si="47"/>
        <v>2286.2060000000001</v>
      </c>
      <c r="F57" s="39">
        <f t="shared" si="47"/>
        <v>3359.1099999999997</v>
      </c>
      <c r="G57" s="39">
        <f t="shared" si="47"/>
        <v>1684.0307</v>
      </c>
      <c r="H57" s="39">
        <f t="shared" si="47"/>
        <v>4056.7433999999994</v>
      </c>
      <c r="I57" s="125">
        <f>I54+I55-I56</f>
        <v>5331.6376579999996</v>
      </c>
      <c r="J57" s="39">
        <f>J54+J55-J56</f>
        <v>8158.9882372000011</v>
      </c>
      <c r="L57" s="7" t="s">
        <v>53</v>
      </c>
      <c r="M57" s="26">
        <f t="shared" ref="M57:U57" si="48">(M10/M6)</f>
        <v>2.1443850195247953</v>
      </c>
      <c r="N57" s="26">
        <f t="shared" si="48"/>
        <v>2.1464551769995324</v>
      </c>
      <c r="O57" s="26">
        <f t="shared" si="48"/>
        <v>2.0520010193199782</v>
      </c>
      <c r="P57" s="26">
        <f t="shared" si="48"/>
        <v>2.0125168927626138</v>
      </c>
      <c r="Q57" s="26">
        <f t="shared" si="48"/>
        <v>0.2855486438633052</v>
      </c>
      <c r="R57" s="138">
        <f t="shared" si="48"/>
        <v>0.32170317052766739</v>
      </c>
      <c r="S57" s="26">
        <f t="shared" si="48"/>
        <v>0.33999099269593874</v>
      </c>
      <c r="T57" s="26">
        <f t="shared" si="48"/>
        <v>5.2387050703931758E-2</v>
      </c>
      <c r="U57" s="26">
        <f t="shared" si="48"/>
        <v>0.29236790216893388</v>
      </c>
      <c r="W57" s="1">
        <v>0.10854607182293105</v>
      </c>
    </row>
    <row r="58" spans="1:25" ht="12.75" customHeight="1" x14ac:dyDescent="0.2">
      <c r="L58" s="7" t="s">
        <v>54</v>
      </c>
      <c r="M58" s="26">
        <f t="shared" ref="M58:U58" si="49">(M10-M24)/M6</f>
        <v>2.0636649963243476</v>
      </c>
      <c r="N58" s="26">
        <f t="shared" si="49"/>
        <v>2.0675692218876085</v>
      </c>
      <c r="O58" s="26">
        <f t="shared" si="49"/>
        <v>1.9528335042264335</v>
      </c>
      <c r="P58" s="26">
        <f t="shared" si="49"/>
        <v>1.9514149579669966</v>
      </c>
      <c r="Q58" s="26">
        <f t="shared" si="49"/>
        <v>0.27853898189681081</v>
      </c>
      <c r="R58" s="138">
        <f t="shared" si="49"/>
        <v>0.13945450267877194</v>
      </c>
      <c r="S58" s="26">
        <f t="shared" si="49"/>
        <v>0.31927898447437825</v>
      </c>
      <c r="T58" s="26">
        <f t="shared" si="49"/>
        <v>-3.4587892709180446E-2</v>
      </c>
      <c r="U58" s="26">
        <f t="shared" si="49"/>
        <v>0.25563146049513036</v>
      </c>
      <c r="V58" s="147"/>
      <c r="W58" s="1">
        <v>0.51555153142464638</v>
      </c>
    </row>
    <row r="59" spans="1:25" ht="12.75" customHeight="1" x14ac:dyDescent="0.2">
      <c r="C59" s="78"/>
      <c r="L59" s="7" t="s">
        <v>55</v>
      </c>
      <c r="M59" s="53">
        <f t="shared" ref="M59:P59" si="50">(M51/M48)</f>
        <v>0</v>
      </c>
      <c r="N59" s="53">
        <f t="shared" si="50"/>
        <v>0</v>
      </c>
      <c r="O59" s="53">
        <f t="shared" si="50"/>
        <v>0</v>
      </c>
      <c r="P59" s="53">
        <f t="shared" si="50"/>
        <v>2.5974025974025976E-2</v>
      </c>
      <c r="Q59" s="53">
        <f>(Q51/Q48)</f>
        <v>1.2096774193548387E-2</v>
      </c>
      <c r="R59" s="139">
        <f>(R51/R48)</f>
        <v>2.9304029304029301E-2</v>
      </c>
      <c r="S59" s="53">
        <f>(S51/S48)</f>
        <v>6.2656641604010022E-2</v>
      </c>
      <c r="T59" s="53">
        <f>(T51/T48)</f>
        <v>5.2301255230125528E-2</v>
      </c>
      <c r="U59" s="53">
        <f>(U51/U48)</f>
        <v>5.3740326741186582E-2</v>
      </c>
      <c r="V59" s="147"/>
      <c r="W59" s="1">
        <v>0.45885291454619254</v>
      </c>
    </row>
    <row r="60" spans="1:25" ht="12.75" customHeight="1" x14ac:dyDescent="0.2">
      <c r="C60" s="78"/>
      <c r="L60" s="7" t="s">
        <v>56</v>
      </c>
      <c r="M60" s="7"/>
      <c r="N60" s="54">
        <f t="shared" ref="N60:U60" si="51">(AVERAGE(M23:N23)/C6*365)</f>
        <v>9.0855331731617408</v>
      </c>
      <c r="O60" s="54">
        <f t="shared" si="51"/>
        <v>9.1118405930142501</v>
      </c>
      <c r="P60" s="54">
        <f t="shared" si="51"/>
        <v>16.843540923787625</v>
      </c>
      <c r="Q60" s="54">
        <f t="shared" si="51"/>
        <v>47.633244164145331</v>
      </c>
      <c r="R60" s="140">
        <f t="shared" si="51"/>
        <v>103.30779696063762</v>
      </c>
      <c r="S60" s="54">
        <f t="shared" si="51"/>
        <v>95.611701119761094</v>
      </c>
      <c r="T60" s="54">
        <f t="shared" si="51"/>
        <v>100.68106408338916</v>
      </c>
      <c r="U60" s="54">
        <f t="shared" si="51"/>
        <v>83.440166894182923</v>
      </c>
      <c r="W60" s="1" t="s">
        <v>140</v>
      </c>
    </row>
    <row r="61" spans="1:25" ht="12.75" customHeight="1" x14ac:dyDescent="0.2">
      <c r="C61" s="78"/>
      <c r="F61" s="144"/>
      <c r="L61" s="7" t="s">
        <v>57</v>
      </c>
      <c r="M61" s="7"/>
      <c r="N61" s="54">
        <f>AVERAGE(M33:N33)/(C10+C12)*365</f>
        <v>37.55335662702111</v>
      </c>
      <c r="O61" s="54">
        <f t="shared" ref="O61:U61" si="52">AVERAGE(N33:O33)/(D10)*365</f>
        <v>48.667178364790459</v>
      </c>
      <c r="P61" s="54">
        <f t="shared" si="52"/>
        <v>85.452763147414657</v>
      </c>
      <c r="Q61" s="54">
        <f t="shared" si="52"/>
        <v>79.022057419041516</v>
      </c>
      <c r="R61" s="140">
        <f t="shared" si="52"/>
        <v>175.96753596921852</v>
      </c>
      <c r="S61" s="54">
        <f t="shared" si="52"/>
        <v>151.30817291066282</v>
      </c>
      <c r="T61" s="54">
        <f t="shared" si="52"/>
        <v>149.99652331462306</v>
      </c>
      <c r="U61" s="54">
        <f t="shared" si="52"/>
        <v>137.16948419346866</v>
      </c>
      <c r="W61" s="1">
        <v>53.243024258230669</v>
      </c>
    </row>
    <row r="62" spans="1:25" ht="12.75" customHeight="1" x14ac:dyDescent="0.2">
      <c r="C62" s="78"/>
      <c r="L62" s="7" t="s">
        <v>58</v>
      </c>
      <c r="M62" s="11"/>
      <c r="N62" s="55">
        <f t="shared" ref="N62:U62" si="53">(AVERAGE(M22:N22)/(C10+C12)*365)</f>
        <v>130.61871167593907</v>
      </c>
      <c r="O62" s="55">
        <f t="shared" si="53"/>
        <v>138.96107294405965</v>
      </c>
      <c r="P62" s="55">
        <f t="shared" si="53"/>
        <v>226.11376265827582</v>
      </c>
      <c r="Q62" s="55">
        <f t="shared" si="53"/>
        <v>51.766601014987934</v>
      </c>
      <c r="R62" s="141">
        <f t="shared" si="53"/>
        <v>93.577248116344791</v>
      </c>
      <c r="S62" s="55">
        <f t="shared" si="53"/>
        <v>104.55702135952147</v>
      </c>
      <c r="T62" s="55">
        <f t="shared" si="53"/>
        <v>78.007782235522384</v>
      </c>
      <c r="U62" s="55">
        <f t="shared" si="53"/>
        <v>52.050234138040771</v>
      </c>
      <c r="W62" s="1">
        <v>39.22892630564553</v>
      </c>
    </row>
    <row r="63" spans="1:25" ht="12.75" customHeight="1" x14ac:dyDescent="0.2">
      <c r="C63" s="78"/>
      <c r="L63" s="7" t="s">
        <v>76</v>
      </c>
      <c r="M63" s="56"/>
      <c r="N63" s="55">
        <f t="shared" ref="N63:P63" si="54">(N62+N60-N61)</f>
        <v>102.15088822207969</v>
      </c>
      <c r="O63" s="55">
        <f t="shared" si="54"/>
        <v>99.405735172283443</v>
      </c>
      <c r="P63" s="55">
        <f t="shared" si="54"/>
        <v>157.50454043464879</v>
      </c>
      <c r="Q63" s="55">
        <f>(Q62+Q60-Q61)</f>
        <v>20.377787760091749</v>
      </c>
      <c r="R63" s="141">
        <f>(R62+R60-R61)</f>
        <v>20.917509107763891</v>
      </c>
      <c r="S63" s="55">
        <f>(S62+S60-S61)</f>
        <v>48.860549568619746</v>
      </c>
      <c r="T63" s="55">
        <f>(T62+T60-T61)</f>
        <v>28.692323004288482</v>
      </c>
      <c r="U63" s="55">
        <f>(U62+U60-U61)</f>
        <v>-1.6790831612449608</v>
      </c>
      <c r="W63" s="1">
        <v>91.408518720182528</v>
      </c>
    </row>
    <row r="64" spans="1:25" ht="12.75" customHeight="1" x14ac:dyDescent="0.2">
      <c r="F64" s="122"/>
      <c r="G64" s="122"/>
      <c r="H64" s="122"/>
      <c r="L64" s="7" t="s">
        <v>59</v>
      </c>
      <c r="M64" s="56"/>
      <c r="N64" s="55">
        <f t="shared" ref="N64:U64" si="55">AVERAGE(M39:N39)/C6*365</f>
        <v>24.872235465955338</v>
      </c>
      <c r="O64" s="55">
        <f t="shared" si="55"/>
        <v>21.318479793387876</v>
      </c>
      <c r="P64" s="55">
        <f t="shared" si="55"/>
        <v>36.194884012814505</v>
      </c>
      <c r="Q64" s="55">
        <f t="shared" si="55"/>
        <v>17.465138169875431</v>
      </c>
      <c r="R64" s="141">
        <f t="shared" si="55"/>
        <v>31.596228361563266</v>
      </c>
      <c r="S64" s="55">
        <f t="shared" si="55"/>
        <v>40.129483094629727</v>
      </c>
      <c r="T64" s="55">
        <f t="shared" si="55"/>
        <v>57.349343896657132</v>
      </c>
      <c r="U64" s="55">
        <f t="shared" si="55"/>
        <v>60.36548538024568</v>
      </c>
      <c r="W64" s="1">
        <v>105.42261667276767</v>
      </c>
    </row>
    <row r="65" spans="12:23" ht="12.75" customHeight="1" x14ac:dyDescent="0.2">
      <c r="L65" s="15" t="s">
        <v>79</v>
      </c>
      <c r="M65" s="15"/>
      <c r="N65" s="30">
        <f t="shared" ref="N65:U65" si="56">C21/N10</f>
        <v>8.4934171424454724E-2</v>
      </c>
      <c r="O65" s="30">
        <f t="shared" si="56"/>
        <v>0.1431288892760304</v>
      </c>
      <c r="P65" s="30">
        <f t="shared" si="56"/>
        <v>7.7998483260744392E-2</v>
      </c>
      <c r="Q65" s="30">
        <f t="shared" si="56"/>
        <v>0.32172210471705648</v>
      </c>
      <c r="R65" s="142">
        <f t="shared" si="56"/>
        <v>0.26828811194635904</v>
      </c>
      <c r="S65" s="30">
        <f t="shared" si="56"/>
        <v>0.18602471014722516</v>
      </c>
      <c r="T65" s="30">
        <f t="shared" si="56"/>
        <v>0.75576400988694836</v>
      </c>
      <c r="U65" s="30">
        <f t="shared" si="56"/>
        <v>0.13975271637317346</v>
      </c>
      <c r="W65" s="1">
        <v>70.559205141915584</v>
      </c>
    </row>
    <row r="66" spans="12:23" ht="12.75" customHeight="1" x14ac:dyDescent="0.2">
      <c r="W66" s="1">
        <v>2.3133849302956533E-2</v>
      </c>
    </row>
    <row r="67" spans="12:23" ht="12.75" customHeight="1" x14ac:dyDescent="0.2">
      <c r="M67" s="13"/>
      <c r="N67" s="13"/>
      <c r="O67" s="13"/>
      <c r="P67" s="13"/>
    </row>
    <row r="79" spans="12:23" ht="12.75" customHeight="1" x14ac:dyDescent="0.2">
      <c r="M79" s="1"/>
    </row>
    <row r="80" spans="12:23" ht="12.75" customHeight="1" x14ac:dyDescent="0.2">
      <c r="M80" s="1"/>
    </row>
    <row r="81" spans="13:13" ht="12.75" customHeight="1" x14ac:dyDescent="0.2">
      <c r="M81" s="1"/>
    </row>
    <row r="82" spans="13:13" ht="12.75" customHeight="1" x14ac:dyDescent="0.2">
      <c r="M82" s="12"/>
    </row>
  </sheetData>
  <mergeCells count="1">
    <mergeCell ref="A1:U1"/>
  </mergeCells>
  <pageMargins left="0" right="0" top="0" bottom="0" header="0" footer="0"/>
  <pageSetup paperSize="9" scale="68" orientation="landscape" r:id="rId1"/>
  <ignoredErrors>
    <ignoredError sqref="R6" formula="1"/>
    <ignoredError sqref="U60:U62 T60:T62 S60:S62 R60:R62 Q60:Q6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opLeftCell="A2" workbookViewId="0">
      <selection activeCell="D25" sqref="D25"/>
    </sheetView>
  </sheetViews>
  <sheetFormatPr defaultColWidth="9.140625" defaultRowHeight="12.75" x14ac:dyDescent="0.2"/>
  <cols>
    <col min="1" max="1" width="25.7109375" style="96" bestFit="1" customWidth="1"/>
    <col min="2" max="2" width="13.85546875" style="105" bestFit="1" customWidth="1"/>
    <col min="3" max="3" width="11.85546875" style="105" bestFit="1" customWidth="1"/>
    <col min="4" max="4" width="11" style="105" bestFit="1" customWidth="1"/>
    <col min="5" max="5" width="13.42578125" style="105" bestFit="1" customWidth="1"/>
    <col min="6" max="6" width="10.28515625" style="105" bestFit="1" customWidth="1"/>
    <col min="7" max="7" width="9.140625" style="96"/>
    <col min="8" max="8" width="22.85546875" style="96" bestFit="1" customWidth="1"/>
    <col min="9" max="10" width="12.140625" style="96" bestFit="1" customWidth="1"/>
    <col min="11" max="11" width="13.28515625" style="96" bestFit="1" customWidth="1"/>
    <col min="12" max="12" width="13.42578125" style="96" bestFit="1" customWidth="1"/>
    <col min="13" max="13" width="12.140625" style="96" bestFit="1" customWidth="1"/>
    <col min="14" max="16384" width="9.140625" style="96"/>
  </cols>
  <sheetData>
    <row r="1" spans="1:13" x14ac:dyDescent="0.2">
      <c r="A1" s="112" t="s">
        <v>130</v>
      </c>
      <c r="B1" s="105" t="s">
        <v>97</v>
      </c>
    </row>
    <row r="2" spans="1:13" x14ac:dyDescent="0.2">
      <c r="A2" s="113" t="s">
        <v>131</v>
      </c>
      <c r="B2" s="111" t="s">
        <v>98</v>
      </c>
      <c r="C2" s="111" t="s">
        <v>99</v>
      </c>
      <c r="D2" s="111" t="s">
        <v>94</v>
      </c>
      <c r="E2" s="111" t="s">
        <v>96</v>
      </c>
      <c r="F2" s="111" t="s">
        <v>95</v>
      </c>
      <c r="H2" s="114" t="s">
        <v>134</v>
      </c>
      <c r="I2" s="111" t="s">
        <v>98</v>
      </c>
      <c r="J2" s="111" t="s">
        <v>99</v>
      </c>
      <c r="K2" s="111" t="s">
        <v>94</v>
      </c>
      <c r="L2" s="111" t="s">
        <v>96</v>
      </c>
      <c r="M2" s="111" t="s">
        <v>95</v>
      </c>
    </row>
    <row r="3" spans="1:13" x14ac:dyDescent="0.2">
      <c r="A3" s="97" t="s">
        <v>119</v>
      </c>
      <c r="B3" s="117">
        <v>9037</v>
      </c>
      <c r="C3" s="118">
        <v>131753.65599999999</v>
      </c>
      <c r="D3" s="118">
        <v>56003.921999999999</v>
      </c>
      <c r="E3" s="118">
        <v>12674.31</v>
      </c>
      <c r="F3" s="118">
        <v>19229.483</v>
      </c>
      <c r="H3" s="97" t="s">
        <v>100</v>
      </c>
      <c r="I3" s="97">
        <v>1828.6000000000001</v>
      </c>
      <c r="J3" s="97">
        <v>-50228.231</v>
      </c>
      <c r="K3" s="97">
        <v>3005.7640000000001</v>
      </c>
      <c r="L3" s="97">
        <v>3978.8</v>
      </c>
      <c r="M3" s="97">
        <v>3695.6</v>
      </c>
    </row>
    <row r="4" spans="1:13" x14ac:dyDescent="0.2">
      <c r="A4" s="97" t="s">
        <v>120</v>
      </c>
      <c r="B4" s="119">
        <v>6645.5</v>
      </c>
      <c r="C4" s="119">
        <v>192804.9</v>
      </c>
      <c r="D4" s="119">
        <v>43037.923000000003</v>
      </c>
      <c r="E4" s="119">
        <v>7787</v>
      </c>
      <c r="F4" s="119">
        <v>8517</v>
      </c>
      <c r="H4" s="97" t="s">
        <v>33</v>
      </c>
      <c r="I4" s="97">
        <v>864.5</v>
      </c>
      <c r="J4" s="97">
        <v>160.69999999999999</v>
      </c>
      <c r="K4" s="97">
        <f>336.559+118.796</f>
        <v>455.35500000000002</v>
      </c>
      <c r="L4" s="97">
        <v>1695.367</v>
      </c>
      <c r="M4" s="97">
        <v>0</v>
      </c>
    </row>
    <row r="5" spans="1:13" x14ac:dyDescent="0.2">
      <c r="A5" s="98" t="s">
        <v>101</v>
      </c>
      <c r="B5" s="107">
        <f>((B3/B4)^(1/3)-1)</f>
        <v>0.10789569116632025</v>
      </c>
      <c r="C5" s="107">
        <f t="shared" ref="C5:F5" si="0">((C3/C4)^(1/3)-1)</f>
        <v>-0.11919142082181822</v>
      </c>
      <c r="D5" s="107">
        <f t="shared" si="0"/>
        <v>9.1747935354330457E-2</v>
      </c>
      <c r="E5" s="107">
        <f t="shared" si="0"/>
        <v>0.17629987318624263</v>
      </c>
      <c r="F5" s="107">
        <f t="shared" si="0"/>
        <v>0.31187861781805903</v>
      </c>
      <c r="H5" s="97" t="s">
        <v>34</v>
      </c>
      <c r="I5" s="97">
        <v>1055.1000000000001</v>
      </c>
      <c r="J5" s="97">
        <v>82290.899999999994</v>
      </c>
      <c r="K5" s="97">
        <v>2073.9270000000001</v>
      </c>
      <c r="L5" s="97">
        <v>314.10000000000002</v>
      </c>
      <c r="M5" s="97">
        <v>21</v>
      </c>
    </row>
    <row r="6" spans="1:13" x14ac:dyDescent="0.2">
      <c r="A6" s="97"/>
      <c r="B6" s="108"/>
      <c r="C6" s="106"/>
      <c r="D6" s="106"/>
      <c r="E6" s="106"/>
      <c r="F6" s="106"/>
      <c r="H6" s="98" t="s">
        <v>35</v>
      </c>
      <c r="I6" s="98">
        <f>I4+I5</f>
        <v>1919.6000000000001</v>
      </c>
      <c r="J6" s="98">
        <f t="shared" ref="J6:M6" si="1">J4+J5</f>
        <v>82451.599999999991</v>
      </c>
      <c r="K6" s="98">
        <f t="shared" si="1"/>
        <v>2529.2820000000002</v>
      </c>
      <c r="L6" s="98">
        <f t="shared" si="1"/>
        <v>2009.4670000000001</v>
      </c>
      <c r="M6" s="98">
        <f t="shared" si="1"/>
        <v>21</v>
      </c>
    </row>
    <row r="7" spans="1:13" x14ac:dyDescent="0.2">
      <c r="A7" s="97" t="s">
        <v>102</v>
      </c>
      <c r="B7" s="109">
        <v>7124</v>
      </c>
      <c r="C7" s="106">
        <v>113243</v>
      </c>
      <c r="D7" s="120">
        <f>34225.668+17846.294</f>
        <v>52071.962</v>
      </c>
      <c r="E7" s="106">
        <v>6020.4</v>
      </c>
      <c r="F7" s="106">
        <v>6854.8</v>
      </c>
      <c r="H7" s="98" t="s">
        <v>36</v>
      </c>
      <c r="I7" s="98">
        <f>(I8+I9-I15-I5)</f>
        <v>1768.3999999999999</v>
      </c>
      <c r="J7" s="98">
        <f t="shared" ref="J7:M7" si="2">(J8+J9-J15-J5)</f>
        <v>-132135.29999999999</v>
      </c>
      <c r="K7" s="98">
        <f t="shared" si="2"/>
        <v>-61.156999999997879</v>
      </c>
      <c r="L7" s="98">
        <f t="shared" si="2"/>
        <v>5636.3</v>
      </c>
      <c r="M7" s="98">
        <f t="shared" si="2"/>
        <v>3851.2999999999993</v>
      </c>
    </row>
    <row r="8" spans="1:13" x14ac:dyDescent="0.2">
      <c r="A8" s="97" t="s">
        <v>103</v>
      </c>
      <c r="B8" s="106">
        <v>-78.899999999999991</v>
      </c>
      <c r="C8" s="106">
        <v>778.19999999999993</v>
      </c>
      <c r="D8" s="120">
        <v>882.05499999999995</v>
      </c>
      <c r="E8" s="106">
        <v>-30</v>
      </c>
      <c r="F8" s="106">
        <v>70</v>
      </c>
      <c r="H8" s="97" t="s">
        <v>104</v>
      </c>
      <c r="I8" s="97">
        <v>1668.5</v>
      </c>
      <c r="J8" s="97">
        <v>54181.7</v>
      </c>
      <c r="K8" s="97">
        <v>2526.9929999999999</v>
      </c>
      <c r="L8" s="97">
        <v>6175.7000000000007</v>
      </c>
      <c r="M8" s="97">
        <v>1797.7</v>
      </c>
    </row>
    <row r="9" spans="1:13" x14ac:dyDescent="0.2">
      <c r="A9" s="97"/>
      <c r="B9" s="106"/>
      <c r="C9" s="106"/>
      <c r="D9" s="106"/>
      <c r="E9" s="106"/>
      <c r="F9" s="106"/>
      <c r="H9" s="97" t="s">
        <v>105</v>
      </c>
      <c r="I9" s="97">
        <v>3934.1000000000004</v>
      </c>
      <c r="J9" s="97">
        <v>25458.899999999998</v>
      </c>
      <c r="K9" s="121">
        <v>10613.900000000001</v>
      </c>
      <c r="L9" s="97">
        <v>1516.2</v>
      </c>
      <c r="M9" s="97">
        <v>2813.8999999999996</v>
      </c>
    </row>
    <row r="10" spans="1:13" x14ac:dyDescent="0.2">
      <c r="A10" s="98" t="s">
        <v>132</v>
      </c>
      <c r="B10" s="110">
        <f>(B20+B14+B15)</f>
        <v>632.1</v>
      </c>
      <c r="C10" s="110">
        <f t="shared" ref="C10:F10" si="3">(C20+C14+C15)</f>
        <v>79061</v>
      </c>
      <c r="D10" s="110">
        <f t="shared" si="3"/>
        <v>1328.6799999999998</v>
      </c>
      <c r="E10" s="110">
        <f t="shared" si="3"/>
        <v>1284.7</v>
      </c>
      <c r="F10" s="110">
        <f t="shared" si="3"/>
        <v>363.90000000000003</v>
      </c>
      <c r="H10" s="97" t="s">
        <v>135</v>
      </c>
      <c r="I10" s="97">
        <v>2662.3</v>
      </c>
      <c r="J10" s="97">
        <v>12618</v>
      </c>
      <c r="K10" s="97">
        <v>4685.78</v>
      </c>
      <c r="L10" s="97">
        <v>777.69999999999993</v>
      </c>
      <c r="M10" s="97">
        <v>653.40000000000009</v>
      </c>
    </row>
    <row r="11" spans="1:13" x14ac:dyDescent="0.2">
      <c r="A11" s="98" t="s">
        <v>133</v>
      </c>
      <c r="B11" s="110">
        <f>(B21+B17+B18)</f>
        <v>411.6</v>
      </c>
      <c r="C11" s="110">
        <f t="shared" ref="C11:F11" si="4">(C21+C17+C18)</f>
        <v>-6164.4</v>
      </c>
      <c r="D11" s="110">
        <f t="shared" si="4"/>
        <v>912.505</v>
      </c>
      <c r="E11" s="110">
        <f t="shared" si="4"/>
        <v>587</v>
      </c>
      <c r="F11" s="110">
        <f t="shared" si="4"/>
        <v>630.19999999999993</v>
      </c>
      <c r="H11" s="97" t="s">
        <v>106</v>
      </c>
      <c r="I11" s="97">
        <v>2624.1000000000004</v>
      </c>
      <c r="J11" s="97">
        <v>11912.6</v>
      </c>
      <c r="K11" s="97">
        <v>4726.8249999999998</v>
      </c>
      <c r="L11" s="97">
        <v>603.80000000000007</v>
      </c>
      <c r="M11" s="97">
        <v>651.70000000000005</v>
      </c>
    </row>
    <row r="12" spans="1:13" x14ac:dyDescent="0.2">
      <c r="A12" s="98" t="s">
        <v>101</v>
      </c>
      <c r="B12" s="107">
        <f>((B10/B11)^(1/3)-1)</f>
        <v>0.15372811165243716</v>
      </c>
      <c r="C12" s="107">
        <f t="shared" ref="C12:F12" si="5">((C10/C11)^(1/3)-1)</f>
        <v>-3.3407614896933415</v>
      </c>
      <c r="D12" s="107">
        <f t="shared" si="5"/>
        <v>0.13343089993643642</v>
      </c>
      <c r="E12" s="107">
        <f t="shared" si="5"/>
        <v>0.29833831688532597</v>
      </c>
      <c r="F12" s="107">
        <f t="shared" si="5"/>
        <v>-0.16727573684581831</v>
      </c>
      <c r="H12" s="97" t="s">
        <v>136</v>
      </c>
      <c r="I12" s="97">
        <v>616.1</v>
      </c>
      <c r="J12" s="97">
        <v>2641.1000000000004</v>
      </c>
      <c r="K12" s="97">
        <v>3793.0349999999999</v>
      </c>
      <c r="L12" s="97">
        <v>490.79999999999995</v>
      </c>
      <c r="M12" s="97">
        <v>585</v>
      </c>
    </row>
    <row r="13" spans="1:13" x14ac:dyDescent="0.2">
      <c r="A13" s="97"/>
      <c r="B13" s="106"/>
      <c r="C13" s="106"/>
      <c r="D13" s="106"/>
      <c r="E13" s="106"/>
      <c r="F13" s="106"/>
      <c r="H13" s="97" t="s">
        <v>107</v>
      </c>
      <c r="I13" s="97">
        <v>420.90000000000003</v>
      </c>
      <c r="J13" s="97">
        <v>2831.5</v>
      </c>
      <c r="K13" s="97">
        <v>3382.864</v>
      </c>
      <c r="L13" s="97">
        <v>483.5</v>
      </c>
      <c r="M13" s="97">
        <v>629.20000000000005</v>
      </c>
    </row>
    <row r="14" spans="1:13" x14ac:dyDescent="0.2">
      <c r="A14" s="97" t="s">
        <v>121</v>
      </c>
      <c r="B14" s="106">
        <v>135.1</v>
      </c>
      <c r="C14" s="106">
        <v>1357.7</v>
      </c>
      <c r="D14" s="106">
        <v>226.17</v>
      </c>
      <c r="E14" s="106">
        <v>380.2</v>
      </c>
      <c r="F14" s="106">
        <v>177.2</v>
      </c>
      <c r="H14" s="97" t="s">
        <v>39</v>
      </c>
      <c r="I14" s="97">
        <v>135</v>
      </c>
      <c r="J14" s="97">
        <v>1591.2</v>
      </c>
      <c r="K14" s="97">
        <v>431.00700000000001</v>
      </c>
      <c r="L14" s="97">
        <v>16</v>
      </c>
      <c r="M14" s="97">
        <v>448.29999999999995</v>
      </c>
    </row>
    <row r="15" spans="1:13" x14ac:dyDescent="0.2">
      <c r="A15" s="97" t="s">
        <v>122</v>
      </c>
      <c r="B15" s="106">
        <v>148.1</v>
      </c>
      <c r="C15" s="106">
        <v>1123.0999999999999</v>
      </c>
      <c r="D15" s="106">
        <v>838.43700000000001</v>
      </c>
      <c r="E15" s="106">
        <v>235.5</v>
      </c>
      <c r="F15" s="106">
        <v>18.8</v>
      </c>
      <c r="H15" s="97" t="s">
        <v>108</v>
      </c>
      <c r="I15" s="97">
        <v>2779.1000000000004</v>
      </c>
      <c r="J15" s="97">
        <v>129485</v>
      </c>
      <c r="K15" s="121">
        <f>11049.704+537-(336.559+118.796)-3.226</f>
        <v>11128.123</v>
      </c>
      <c r="L15" s="97">
        <v>1741.5</v>
      </c>
      <c r="M15" s="97">
        <v>739.30000000000007</v>
      </c>
    </row>
    <row r="16" spans="1:13" x14ac:dyDescent="0.2">
      <c r="A16" s="97"/>
      <c r="B16" s="106"/>
      <c r="C16" s="106"/>
      <c r="D16" s="106"/>
      <c r="E16" s="106"/>
      <c r="F16" s="106"/>
      <c r="H16" s="97" t="s">
        <v>137</v>
      </c>
      <c r="I16" s="97">
        <v>1520.1</v>
      </c>
      <c r="J16" s="97">
        <v>18690</v>
      </c>
      <c r="K16" s="97">
        <v>8380.5750000000007</v>
      </c>
      <c r="L16" s="97">
        <v>946.5</v>
      </c>
      <c r="M16" s="97">
        <v>368.5</v>
      </c>
    </row>
    <row r="17" spans="1:13" x14ac:dyDescent="0.2">
      <c r="A17" s="97" t="s">
        <v>123</v>
      </c>
      <c r="B17" s="106">
        <v>85.1</v>
      </c>
      <c r="C17" s="106">
        <v>1588.7</v>
      </c>
      <c r="D17" s="106">
        <v>207.03800000000001</v>
      </c>
      <c r="E17" s="106">
        <v>268.7</v>
      </c>
      <c r="F17" s="106">
        <v>203.3</v>
      </c>
      <c r="H17" s="97" t="s">
        <v>109</v>
      </c>
      <c r="I17" s="97">
        <v>1011.1</v>
      </c>
      <c r="J17" s="97">
        <v>25440</v>
      </c>
      <c r="K17" s="97">
        <v>7281.6059999999998</v>
      </c>
      <c r="L17" s="97">
        <v>964.7</v>
      </c>
      <c r="M17" s="97">
        <v>388.2</v>
      </c>
    </row>
    <row r="18" spans="1:13" x14ac:dyDescent="0.2">
      <c r="A18" s="97" t="s">
        <v>124</v>
      </c>
      <c r="B18" s="106">
        <v>213.6</v>
      </c>
      <c r="C18" s="106">
        <v>9605.9</v>
      </c>
      <c r="D18" s="106">
        <v>390.971</v>
      </c>
      <c r="E18" s="106">
        <v>175.2</v>
      </c>
      <c r="F18" s="106">
        <v>15.4</v>
      </c>
      <c r="H18" s="98" t="s">
        <v>41</v>
      </c>
      <c r="I18" s="98">
        <f>I9-I15</f>
        <v>1155</v>
      </c>
      <c r="J18" s="98">
        <f t="shared" ref="J18:M18" si="6">J9-J15</f>
        <v>-104026.1</v>
      </c>
      <c r="K18" s="98">
        <f t="shared" si="6"/>
        <v>-514.22299999999814</v>
      </c>
      <c r="L18" s="98">
        <f t="shared" si="6"/>
        <v>-225.29999999999995</v>
      </c>
      <c r="M18" s="98">
        <f t="shared" si="6"/>
        <v>2074.5999999999995</v>
      </c>
    </row>
    <row r="19" spans="1:13" x14ac:dyDescent="0.2">
      <c r="A19" s="97"/>
      <c r="B19" s="106"/>
      <c r="C19" s="106"/>
      <c r="D19" s="106"/>
      <c r="E19" s="106"/>
      <c r="F19" s="106"/>
    </row>
    <row r="20" spans="1:13" x14ac:dyDescent="0.2">
      <c r="A20" s="97" t="s">
        <v>125</v>
      </c>
      <c r="B20" s="106">
        <v>348.9</v>
      </c>
      <c r="C20" s="106">
        <v>76580.2</v>
      </c>
      <c r="D20" s="106">
        <v>264.07299999999998</v>
      </c>
      <c r="E20" s="106">
        <v>669</v>
      </c>
      <c r="F20" s="106">
        <v>167.9</v>
      </c>
    </row>
    <row r="21" spans="1:13" x14ac:dyDescent="0.2">
      <c r="A21" s="97" t="s">
        <v>126</v>
      </c>
      <c r="B21" s="106">
        <v>112.9</v>
      </c>
      <c r="C21" s="106">
        <v>-17359</v>
      </c>
      <c r="D21" s="106">
        <v>314.49599999999998</v>
      </c>
      <c r="E21" s="106">
        <v>143.1</v>
      </c>
      <c r="F21" s="106">
        <v>411.5</v>
      </c>
      <c r="H21" s="113" t="s">
        <v>43</v>
      </c>
      <c r="I21" s="111" t="s">
        <v>98</v>
      </c>
      <c r="J21" s="111" t="s">
        <v>99</v>
      </c>
      <c r="K21" s="111" t="s">
        <v>94</v>
      </c>
      <c r="L21" s="111" t="s">
        <v>96</v>
      </c>
      <c r="M21" s="111" t="s">
        <v>95</v>
      </c>
    </row>
    <row r="22" spans="1:13" x14ac:dyDescent="0.2">
      <c r="A22" s="97"/>
      <c r="B22" s="106"/>
      <c r="C22" s="106"/>
      <c r="D22" s="106"/>
      <c r="E22" s="106"/>
      <c r="F22" s="106"/>
      <c r="H22" s="97" t="s">
        <v>68</v>
      </c>
      <c r="I22" s="115">
        <v>17433000</v>
      </c>
      <c r="J22" s="115">
        <v>334100722</v>
      </c>
      <c r="K22" s="116">
        <v>131895000</v>
      </c>
      <c r="L22" s="115">
        <v>28799268</v>
      </c>
      <c r="M22" s="115">
        <v>9367111</v>
      </c>
    </row>
    <row r="23" spans="1:13" x14ac:dyDescent="0.2">
      <c r="A23" s="97" t="s">
        <v>127</v>
      </c>
      <c r="B23" s="106">
        <v>258.5</v>
      </c>
      <c r="C23" s="106">
        <v>76720</v>
      </c>
      <c r="D23" s="106">
        <v>191.93600000000001</v>
      </c>
      <c r="E23" s="106">
        <v>497</v>
      </c>
      <c r="F23" s="106">
        <v>222.1</v>
      </c>
      <c r="H23" s="97" t="s">
        <v>69</v>
      </c>
      <c r="I23" s="98">
        <f>I22*I27/1000000</f>
        <v>1725.867</v>
      </c>
      <c r="J23" s="98">
        <f t="shared" ref="J23:M23" si="7">J22*J27/1000000</f>
        <v>2261.8618879400001</v>
      </c>
      <c r="K23" s="98">
        <f t="shared" si="7"/>
        <v>1503.6030000000001</v>
      </c>
      <c r="L23" s="98">
        <f t="shared" si="7"/>
        <v>4031.89752</v>
      </c>
      <c r="M23" s="98">
        <f t="shared" si="7"/>
        <v>4599.2515009999997</v>
      </c>
    </row>
    <row r="24" spans="1:13" x14ac:dyDescent="0.2">
      <c r="A24" s="97" t="s">
        <v>128</v>
      </c>
      <c r="B24" s="106">
        <v>97.6</v>
      </c>
      <c r="C24" s="106">
        <v>-13617.8</v>
      </c>
      <c r="D24" s="106">
        <v>107.702</v>
      </c>
      <c r="E24" s="106">
        <v>144.80000000000001</v>
      </c>
      <c r="F24" s="106">
        <v>326.8</v>
      </c>
      <c r="H24" s="97" t="s">
        <v>72</v>
      </c>
      <c r="I24" s="98">
        <f>I6</f>
        <v>1919.6000000000001</v>
      </c>
      <c r="J24" s="98">
        <f>J6</f>
        <v>82451.599999999991</v>
      </c>
      <c r="K24" s="98">
        <f>K6</f>
        <v>2529.2820000000002</v>
      </c>
      <c r="L24" s="98">
        <f>L6</f>
        <v>2009.4670000000001</v>
      </c>
      <c r="M24" s="98">
        <f>M6</f>
        <v>21</v>
      </c>
    </row>
    <row r="25" spans="1:13" x14ac:dyDescent="0.2">
      <c r="A25" s="98" t="s">
        <v>101</v>
      </c>
      <c r="B25" s="107">
        <f>((B23/B24)^(1/3)-1)</f>
        <v>0.38357777323800768</v>
      </c>
      <c r="C25" s="107">
        <f t="shared" ref="C25:F25" si="8">((C23/C24)^(1/3)-1)</f>
        <v>-2.779373892586249</v>
      </c>
      <c r="D25" s="107">
        <f t="shared" si="8"/>
        <v>0.21239524353375594</v>
      </c>
      <c r="E25" s="107">
        <f t="shared" si="8"/>
        <v>0.50844429076307396</v>
      </c>
      <c r="F25" s="107">
        <f t="shared" si="8"/>
        <v>-0.12079765675517373</v>
      </c>
      <c r="H25" s="97" t="s">
        <v>70</v>
      </c>
      <c r="I25" s="98">
        <f>I14</f>
        <v>135</v>
      </c>
      <c r="J25" s="98">
        <f>J14</f>
        <v>1591.2</v>
      </c>
      <c r="K25" s="98">
        <f>K14</f>
        <v>431.00700000000001</v>
      </c>
      <c r="L25" s="98">
        <f>L14</f>
        <v>16</v>
      </c>
      <c r="M25" s="98">
        <f>M14</f>
        <v>448.29999999999995</v>
      </c>
    </row>
    <row r="26" spans="1:13" x14ac:dyDescent="0.2">
      <c r="A26" s="97"/>
      <c r="B26" s="106"/>
      <c r="C26" s="106"/>
      <c r="D26" s="106"/>
      <c r="E26" s="106"/>
      <c r="F26" s="106"/>
      <c r="H26" s="97" t="s">
        <v>71</v>
      </c>
      <c r="I26" s="100">
        <f>I23+I24-I25</f>
        <v>3510.4670000000001</v>
      </c>
      <c r="J26" s="100">
        <f t="shared" ref="J26:M26" si="9">J23+J24-J25</f>
        <v>83122.261887939996</v>
      </c>
      <c r="K26" s="100">
        <f t="shared" si="9"/>
        <v>3601.8780000000002</v>
      </c>
      <c r="L26" s="100">
        <f t="shared" si="9"/>
        <v>6025.3645200000001</v>
      </c>
      <c r="M26" s="100">
        <f t="shared" si="9"/>
        <v>4171.9515009999996</v>
      </c>
    </row>
    <row r="27" spans="1:13" x14ac:dyDescent="0.2">
      <c r="A27" s="97" t="s">
        <v>129</v>
      </c>
      <c r="B27" s="106">
        <v>24.55</v>
      </c>
      <c r="C27" s="106">
        <v>-0.32</v>
      </c>
      <c r="D27" s="106">
        <v>1.46</v>
      </c>
      <c r="E27" s="106">
        <v>8.26</v>
      </c>
      <c r="F27" s="106">
        <v>33.479999999999997</v>
      </c>
      <c r="H27" s="97" t="s">
        <v>44</v>
      </c>
      <c r="I27" s="97">
        <v>99</v>
      </c>
      <c r="J27" s="97">
        <v>6.77</v>
      </c>
      <c r="K27" s="97">
        <v>11.4</v>
      </c>
      <c r="L27" s="97">
        <v>140</v>
      </c>
      <c r="M27" s="97">
        <v>491</v>
      </c>
    </row>
    <row r="28" spans="1:13" x14ac:dyDescent="0.2">
      <c r="H28" s="97" t="s">
        <v>45</v>
      </c>
      <c r="I28" s="98">
        <f>B27</f>
        <v>24.55</v>
      </c>
      <c r="J28" s="98">
        <f>C27</f>
        <v>-0.32</v>
      </c>
      <c r="K28" s="98">
        <f>D27</f>
        <v>1.46</v>
      </c>
      <c r="L28" s="98">
        <f>E27</f>
        <v>8.26</v>
      </c>
      <c r="M28" s="98">
        <f>F27</f>
        <v>33.479999999999997</v>
      </c>
    </row>
    <row r="29" spans="1:13" x14ac:dyDescent="0.2">
      <c r="H29" s="97" t="s">
        <v>46</v>
      </c>
      <c r="I29" s="101">
        <f>I27*1000000/I22</f>
        <v>5.678884873515746</v>
      </c>
      <c r="J29" s="101">
        <f t="shared" ref="J29:M29" si="10">J27*1000000/J22</f>
        <v>2.026335040365462E-2</v>
      </c>
      <c r="K29" s="101">
        <f t="shared" si="10"/>
        <v>8.6432389400659615E-2</v>
      </c>
      <c r="L29" s="101">
        <f t="shared" si="10"/>
        <v>4.8612346674922433</v>
      </c>
      <c r="M29" s="101">
        <f t="shared" si="10"/>
        <v>52.41744226154681</v>
      </c>
    </row>
    <row r="30" spans="1:13" x14ac:dyDescent="0.2">
      <c r="H30" s="97" t="s">
        <v>48</v>
      </c>
      <c r="I30" s="101">
        <f>I27/I28</f>
        <v>4.0325865580448061</v>
      </c>
      <c r="J30" s="101">
        <f t="shared" ref="J30:M30" si="11">J27/J28</f>
        <v>-21.15625</v>
      </c>
      <c r="K30" s="101">
        <f t="shared" si="11"/>
        <v>7.8082191780821919</v>
      </c>
      <c r="L30" s="101">
        <f t="shared" si="11"/>
        <v>16.949152542372882</v>
      </c>
      <c r="M30" s="101">
        <f t="shared" si="11"/>
        <v>14.66547192353644</v>
      </c>
    </row>
    <row r="31" spans="1:13" x14ac:dyDescent="0.2">
      <c r="H31" s="97" t="s">
        <v>49</v>
      </c>
      <c r="I31" s="102">
        <f>I27/I29</f>
        <v>17.433</v>
      </c>
      <c r="J31" s="102">
        <f t="shared" ref="J31:M31" si="12">J27/J29</f>
        <v>334.10072199999996</v>
      </c>
      <c r="K31" s="102">
        <f t="shared" si="12"/>
        <v>131.89500000000001</v>
      </c>
      <c r="L31" s="102">
        <f t="shared" si="12"/>
        <v>28.799267999999998</v>
      </c>
      <c r="M31" s="102">
        <f t="shared" si="12"/>
        <v>9.3671109999999995</v>
      </c>
    </row>
    <row r="32" spans="1:13" x14ac:dyDescent="0.2">
      <c r="H32" s="97" t="s">
        <v>50</v>
      </c>
      <c r="I32" s="101">
        <f>I26/B10</f>
        <v>5.553657649106154</v>
      </c>
      <c r="J32" s="101">
        <f>J26/C10</f>
        <v>1.0513687138783976</v>
      </c>
      <c r="K32" s="101">
        <f>K26/D10</f>
        <v>2.7108694343257973</v>
      </c>
      <c r="L32" s="101">
        <f>L26/E10</f>
        <v>4.6900945901766953</v>
      </c>
      <c r="M32" s="101">
        <f>M26/F10</f>
        <v>11.464554825501509</v>
      </c>
    </row>
    <row r="33" spans="8:13" x14ac:dyDescent="0.2">
      <c r="H33" s="97" t="s">
        <v>51</v>
      </c>
      <c r="I33" s="103">
        <f>B23/I3</f>
        <v>0.14136497867220824</v>
      </c>
      <c r="J33" s="103">
        <f>C23/J3</f>
        <v>-1.5274278721860621</v>
      </c>
      <c r="K33" s="103">
        <f>D23/K3</f>
        <v>6.3855978047511378E-2</v>
      </c>
      <c r="L33" s="103">
        <f>E23/L3</f>
        <v>0.12491203377902885</v>
      </c>
      <c r="M33" s="103">
        <f>F23/M3</f>
        <v>6.0098495508171881E-2</v>
      </c>
    </row>
    <row r="34" spans="8:13" x14ac:dyDescent="0.2">
      <c r="H34" s="97" t="s">
        <v>52</v>
      </c>
      <c r="I34" s="103">
        <f>(B20+B18)/I7</f>
        <v>0.31808414385885547</v>
      </c>
      <c r="J34" s="103">
        <f>(C20+C18)/J7</f>
        <v>-0.65225643715191928</v>
      </c>
      <c r="K34" s="103">
        <f>(D20+D15)/K7</f>
        <v>-18.027535686839418</v>
      </c>
      <c r="L34" s="103">
        <f>(E20+E18)/L7</f>
        <v>0.14977911040931108</v>
      </c>
      <c r="M34" s="103">
        <f>(F20+F18)/M7</f>
        <v>4.7594318801443679E-2</v>
      </c>
    </row>
    <row r="35" spans="8:13" x14ac:dyDescent="0.2">
      <c r="H35" s="97" t="s">
        <v>53</v>
      </c>
      <c r="I35" s="101">
        <f>I6/I3</f>
        <v>1.0497648474242589</v>
      </c>
      <c r="J35" s="101">
        <f>J6/J3</f>
        <v>-1.6415389982577724</v>
      </c>
      <c r="K35" s="101">
        <f>K6/K3</f>
        <v>0.84147724172623006</v>
      </c>
      <c r="L35" s="101">
        <f>L6/L3</f>
        <v>0.50504348044636571</v>
      </c>
      <c r="M35" s="101">
        <f>M6/M3</f>
        <v>5.6824331637623125E-3</v>
      </c>
    </row>
    <row r="36" spans="8:13" x14ac:dyDescent="0.2">
      <c r="H36" s="97" t="s">
        <v>54</v>
      </c>
      <c r="I36" s="101">
        <f>(I6-I14)/I3</f>
        <v>0.97593787597068793</v>
      </c>
      <c r="J36" s="101">
        <f>(J6-J14)/J3</f>
        <v>-1.6098596026605037</v>
      </c>
      <c r="K36" s="101">
        <f>(K6-K14)/K3</f>
        <v>0.69808374842469334</v>
      </c>
      <c r="L36" s="101">
        <f>(L6-L14)/L3</f>
        <v>0.50102216748768469</v>
      </c>
      <c r="M36" s="101">
        <f>(M6-M14)/M3</f>
        <v>-0.11562398527979217</v>
      </c>
    </row>
    <row r="37" spans="8:13" x14ac:dyDescent="0.2">
      <c r="H37" s="97" t="s">
        <v>110</v>
      </c>
      <c r="I37" s="97">
        <v>1.2</v>
      </c>
      <c r="J37" s="97">
        <v>0</v>
      </c>
      <c r="K37" s="97">
        <v>0</v>
      </c>
      <c r="L37" s="97">
        <v>0</v>
      </c>
      <c r="M37" s="97">
        <v>0</v>
      </c>
    </row>
    <row r="38" spans="8:13" x14ac:dyDescent="0.2">
      <c r="H38" s="97" t="s">
        <v>55</v>
      </c>
      <c r="I38" s="98">
        <f>I37/I27</f>
        <v>1.2121212121212121E-2</v>
      </c>
      <c r="J38" s="98">
        <f t="shared" ref="J38:M38" si="13">J37/J27</f>
        <v>0</v>
      </c>
      <c r="K38" s="98">
        <f t="shared" si="13"/>
        <v>0</v>
      </c>
      <c r="L38" s="98">
        <f t="shared" si="13"/>
        <v>0</v>
      </c>
      <c r="M38" s="98">
        <f t="shared" si="13"/>
        <v>0</v>
      </c>
    </row>
    <row r="39" spans="8:13" x14ac:dyDescent="0.2">
      <c r="H39" s="97" t="s">
        <v>56</v>
      </c>
      <c r="I39" s="104">
        <f>AVERAGE(I12:I13)/B3*365</f>
        <v>20.941960827708311</v>
      </c>
      <c r="J39" s="104">
        <f>AVERAGE(J12:J13)/C3*365</f>
        <v>7.5804310128593331</v>
      </c>
      <c r="K39" s="104">
        <f>AVERAGE(K12:K13)/D3*365</f>
        <v>23.384104554320317</v>
      </c>
      <c r="L39" s="104">
        <f>AVERAGE(L12:L13)/E3*365</f>
        <v>14.029146359841286</v>
      </c>
      <c r="M39" s="104">
        <f>AVERAGE(M12:M13)/F3*365</f>
        <v>11.523528739696227</v>
      </c>
    </row>
    <row r="40" spans="8:13" x14ac:dyDescent="0.2">
      <c r="H40" s="97" t="s">
        <v>57</v>
      </c>
      <c r="I40" s="104">
        <f>AVERAGE(I16:I17)/B7*365</f>
        <v>64.843346434587303</v>
      </c>
      <c r="J40" s="104">
        <f>AVERAGE(J16:J17)/C7*365</f>
        <v>71.118965410665552</v>
      </c>
      <c r="K40" s="104">
        <f>AVERAGE(K16:K17)/D7*365</f>
        <v>54.892266830660226</v>
      </c>
      <c r="L40" s="104">
        <f>AVERAGE(L16:L17)/E7*365</f>
        <v>57.935353132682216</v>
      </c>
      <c r="M40" s="104">
        <f>AVERAGE(M16:M17)/F7*365</f>
        <v>20.146138472311375</v>
      </c>
    </row>
    <row r="41" spans="8:13" x14ac:dyDescent="0.2">
      <c r="H41" s="97" t="s">
        <v>58</v>
      </c>
      <c r="I41" s="104">
        <f>AVERAGE(I10:I11)/(B7+B8)*365</f>
        <v>136.94170416317723</v>
      </c>
      <c r="J41" s="104">
        <f>AVERAGE(J10:J11)/(C7+C8)*365</f>
        <v>39.263176497002313</v>
      </c>
      <c r="K41" s="104">
        <f>AVERAGE(K10:K11)/(D7+D8)*365</f>
        <v>32.439473147051338</v>
      </c>
      <c r="L41" s="104">
        <f>AVERAGE(L10:L11)/(E7+E8)*365</f>
        <v>42.087965745192307</v>
      </c>
      <c r="M41" s="104">
        <f>AVERAGE(M10:M11)/(F7+F8)*365</f>
        <v>34.395325496765253</v>
      </c>
    </row>
    <row r="42" spans="8:13" x14ac:dyDescent="0.2">
      <c r="H42" s="97" t="s">
        <v>76</v>
      </c>
      <c r="I42" s="104">
        <f>I39+I41-I40</f>
        <v>93.040318556298232</v>
      </c>
      <c r="J42" s="104">
        <f t="shared" ref="J42:M42" si="14">J39+J41-J40</f>
        <v>-24.275357900803904</v>
      </c>
      <c r="K42" s="104">
        <f t="shared" si="14"/>
        <v>0.93131087071142815</v>
      </c>
      <c r="L42" s="104">
        <f t="shared" si="14"/>
        <v>-1.8182410276486252</v>
      </c>
      <c r="M42" s="104">
        <f t="shared" si="14"/>
        <v>25.772715764150103</v>
      </c>
    </row>
    <row r="43" spans="8:13" x14ac:dyDescent="0.2">
      <c r="H43" s="97" t="s">
        <v>59</v>
      </c>
      <c r="I43" s="104">
        <f>I18/B3*365</f>
        <v>46.649883810999228</v>
      </c>
      <c r="J43" s="104">
        <f>J18/C3*365</f>
        <v>-288.18575250769516</v>
      </c>
      <c r="K43" s="104">
        <f>K18/D3*365</f>
        <v>-3.3513973360651299</v>
      </c>
      <c r="L43" s="104">
        <f>L18/E3*365</f>
        <v>-6.4882822023447417</v>
      </c>
      <c r="M43" s="104">
        <f>M18/F3*365</f>
        <v>39.378541794389363</v>
      </c>
    </row>
    <row r="44" spans="8:13" x14ac:dyDescent="0.2">
      <c r="H44" s="97" t="s">
        <v>79</v>
      </c>
      <c r="I44" s="99">
        <f>B15/I6</f>
        <v>7.7151489893727845E-2</v>
      </c>
      <c r="J44" s="99">
        <f>C15/J6</f>
        <v>1.3621324510379423E-2</v>
      </c>
      <c r="K44" s="99">
        <f>D15/K6</f>
        <v>0.33149209933886375</v>
      </c>
      <c r="L44" s="99">
        <f>E15/L6</f>
        <v>0.11719525625451922</v>
      </c>
      <c r="M44" s="99">
        <f>F15/M6</f>
        <v>0.89523809523809528</v>
      </c>
    </row>
    <row r="45" spans="8:13" x14ac:dyDescent="0.2">
      <c r="H45" s="97" t="s">
        <v>111</v>
      </c>
      <c r="I45" s="101">
        <f>I8/B3</f>
        <v>0.18462985504038951</v>
      </c>
      <c r="J45" s="101">
        <f>J8/C3</f>
        <v>0.41123488823718107</v>
      </c>
      <c r="K45" s="101">
        <f>K8/D3</f>
        <v>4.5121714868469387E-2</v>
      </c>
      <c r="L45" s="101">
        <f>L8/E3</f>
        <v>0.48726123946786853</v>
      </c>
      <c r="M45" s="101">
        <f>M8/F3</f>
        <v>9.348665276128329E-2</v>
      </c>
    </row>
    <row r="46" spans="8:13" x14ac:dyDescent="0.2">
      <c r="H46" s="97" t="s">
        <v>112</v>
      </c>
      <c r="I46" s="101">
        <f>(B20+B15)/B15</f>
        <v>3.3558406482106684</v>
      </c>
      <c r="J46" s="101">
        <f t="shared" ref="J46:M46" si="15">(C20+C15)/C15</f>
        <v>69.186448223666645</v>
      </c>
      <c r="K46" s="101">
        <f t="shared" si="15"/>
        <v>1.3149586671389741</v>
      </c>
      <c r="L46" s="101">
        <f t="shared" si="15"/>
        <v>3.8407643312101909</v>
      </c>
      <c r="M46" s="101">
        <f t="shared" si="15"/>
        <v>9.9308510638297882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Including Other Income</vt:lpstr>
      <vt:lpstr>Working</vt:lpstr>
      <vt:lpstr>'Including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v15</cp:lastModifiedBy>
  <cp:lastPrinted>2023-03-15T11:15:29Z</cp:lastPrinted>
  <dcterms:created xsi:type="dcterms:W3CDTF">2017-09-19T08:05:47Z</dcterms:created>
  <dcterms:modified xsi:type="dcterms:W3CDTF">2023-06-12T04:49:56Z</dcterms:modified>
</cp:coreProperties>
</file>