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V11\Downloads\"/>
    </mc:Choice>
  </mc:AlternateContent>
  <xr:revisionPtr revIDLastSave="0" documentId="8_{807D0023-583A-4595-8B5B-952E47EEEF9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ummary Sheet" sheetId="1" r:id="rId1"/>
  </sheets>
  <calcPr calcId="181029"/>
  <extLst>
    <ext uri="GoogleSheetsCustomDataVersion1">
      <go:sheetsCustomData xmlns:go="http://customooxmlschemas.google.com/" r:id="rId5" roundtripDataSignature="AMtx7mhILVDmWyLOxoHwGc8obU/cY/8BCw=="/>
    </ext>
  </extLst>
</workbook>
</file>

<file path=xl/calcChain.xml><?xml version="1.0" encoding="utf-8"?>
<calcChain xmlns="http://schemas.openxmlformats.org/spreadsheetml/2006/main">
  <c r="F36" i="1" l="1"/>
  <c r="E36" i="1"/>
  <c r="F6" i="1"/>
  <c r="E6" i="1"/>
  <c r="N68" i="1"/>
  <c r="N70" i="1"/>
  <c r="N57" i="1"/>
  <c r="M50" i="1"/>
  <c r="N50" i="1"/>
  <c r="F58" i="1"/>
  <c r="E58" i="1"/>
  <c r="F46" i="1"/>
  <c r="F47" i="1" s="1"/>
  <c r="F35" i="1"/>
  <c r="F5" i="1"/>
  <c r="M70" i="1"/>
  <c r="L70" i="1"/>
  <c r="K70" i="1"/>
  <c r="M68" i="1"/>
  <c r="L68" i="1"/>
  <c r="K68" i="1"/>
  <c r="F59" i="1"/>
  <c r="E59" i="1"/>
  <c r="D59" i="1"/>
  <c r="C59" i="1"/>
  <c r="B59" i="1"/>
  <c r="M57" i="1"/>
  <c r="L57" i="1"/>
  <c r="L60" i="1" s="1"/>
  <c r="K57" i="1"/>
  <c r="J57" i="1"/>
  <c r="J67" i="1" s="1"/>
  <c r="F57" i="1"/>
  <c r="E57" i="1"/>
  <c r="D57" i="1"/>
  <c r="C57" i="1"/>
  <c r="B57" i="1"/>
  <c r="B51" i="1"/>
  <c r="L50" i="1"/>
  <c r="D58" i="1" s="1"/>
  <c r="D60" i="1" s="1"/>
  <c r="K50" i="1"/>
  <c r="C58" i="1" s="1"/>
  <c r="J50" i="1"/>
  <c r="J72" i="1" s="1"/>
  <c r="F50" i="1"/>
  <c r="F52" i="1" s="1"/>
  <c r="E50" i="1"/>
  <c r="E52" i="1" s="1"/>
  <c r="D50" i="1"/>
  <c r="D52" i="1" s="1"/>
  <c r="C50" i="1"/>
  <c r="C52" i="1" s="1"/>
  <c r="B50" i="1"/>
  <c r="B52" i="1" s="1"/>
  <c r="E46" i="1"/>
  <c r="D46" i="1"/>
  <c r="D47" i="1" s="1"/>
  <c r="C46" i="1"/>
  <c r="C47" i="1" s="1"/>
  <c r="B44" i="1"/>
  <c r="B46" i="1" s="1"/>
  <c r="B47" i="1" s="1"/>
  <c r="N39" i="1"/>
  <c r="M39" i="1"/>
  <c r="L39" i="1"/>
  <c r="K39" i="1"/>
  <c r="J39" i="1"/>
  <c r="E35" i="1"/>
  <c r="D35" i="1"/>
  <c r="C35" i="1"/>
  <c r="B29" i="1"/>
  <c r="N26" i="1"/>
  <c r="M26" i="1"/>
  <c r="L26" i="1"/>
  <c r="L48" i="1" s="1"/>
  <c r="K26" i="1"/>
  <c r="J26" i="1"/>
  <c r="J48" i="1" s="1"/>
  <c r="N14" i="1"/>
  <c r="M14" i="1"/>
  <c r="L14" i="1"/>
  <c r="K14" i="1"/>
  <c r="J14" i="1"/>
  <c r="M8" i="1"/>
  <c r="L8" i="1"/>
  <c r="K8" i="1"/>
  <c r="J8" i="1"/>
  <c r="F7" i="1"/>
  <c r="E7" i="1"/>
  <c r="D7" i="1"/>
  <c r="L69" i="1" s="1"/>
  <c r="C7" i="1"/>
  <c r="K69" i="1" s="1"/>
  <c r="B7" i="1"/>
  <c r="B12" i="1" s="1"/>
  <c r="E5" i="1"/>
  <c r="D5" i="1"/>
  <c r="C5" i="1"/>
  <c r="N4" i="1"/>
  <c r="M4" i="1"/>
  <c r="M51" i="1" s="1"/>
  <c r="L4" i="1"/>
  <c r="K4" i="1"/>
  <c r="J4" i="1"/>
  <c r="J51" i="1" s="1"/>
  <c r="K58" i="1" l="1"/>
  <c r="K61" i="1" s="1"/>
  <c r="K51" i="1"/>
  <c r="L58" i="1"/>
  <c r="L61" i="1" s="1"/>
  <c r="L51" i="1"/>
  <c r="N58" i="1"/>
  <c r="N61" i="1" s="1"/>
  <c r="N51" i="1"/>
  <c r="M69" i="1"/>
  <c r="E12" i="1"/>
  <c r="F12" i="1"/>
  <c r="N69" i="1"/>
  <c r="J23" i="1"/>
  <c r="J24" i="1" s="1"/>
  <c r="K23" i="1"/>
  <c r="K24" i="1" s="1"/>
  <c r="L23" i="1"/>
  <c r="L24" i="1" s="1"/>
  <c r="M23" i="1"/>
  <c r="M24" i="1" s="1"/>
  <c r="J52" i="1"/>
  <c r="L52" i="1"/>
  <c r="K48" i="1"/>
  <c r="K52" i="1" s="1"/>
  <c r="M48" i="1"/>
  <c r="M52" i="1" s="1"/>
  <c r="K67" i="1"/>
  <c r="K60" i="1"/>
  <c r="M67" i="1"/>
  <c r="M60" i="1"/>
  <c r="N65" i="1"/>
  <c r="N66" i="1"/>
  <c r="N72" i="1"/>
  <c r="N60" i="1"/>
  <c r="N67" i="1"/>
  <c r="N71" i="1"/>
  <c r="E60" i="1"/>
  <c r="M62" i="1" s="1"/>
  <c r="F60" i="1"/>
  <c r="N62" i="1" s="1"/>
  <c r="N48" i="1"/>
  <c r="N52" i="1" s="1"/>
  <c r="N23" i="1"/>
  <c r="N24" i="1" s="1"/>
  <c r="E47" i="1"/>
  <c r="M71" i="1"/>
  <c r="J73" i="1"/>
  <c r="B20" i="1"/>
  <c r="B15" i="1"/>
  <c r="F20" i="1"/>
  <c r="F15" i="1"/>
  <c r="C60" i="1"/>
  <c r="K71" i="1"/>
  <c r="L71" i="1"/>
  <c r="E20" i="1"/>
  <c r="B58" i="1"/>
  <c r="B60" i="1" s="1"/>
  <c r="J62" i="1" s="1"/>
  <c r="M58" i="1"/>
  <c r="M61" i="1" s="1"/>
  <c r="J60" i="1"/>
  <c r="K65" i="1"/>
  <c r="K66" i="1"/>
  <c r="K72" i="1"/>
  <c r="J58" i="1"/>
  <c r="J61" i="1" s="1"/>
  <c r="L65" i="1"/>
  <c r="L66" i="1"/>
  <c r="L67" i="1"/>
  <c r="L72" i="1"/>
  <c r="C12" i="1"/>
  <c r="M65" i="1"/>
  <c r="M66" i="1"/>
  <c r="M72" i="1"/>
  <c r="M73" i="1"/>
  <c r="D12" i="1"/>
  <c r="L62" i="1" s="1"/>
  <c r="J65" i="1"/>
  <c r="J66" i="1"/>
  <c r="F22" i="1" l="1"/>
  <c r="F25" i="1" s="1"/>
  <c r="N64" i="1"/>
  <c r="F24" i="1"/>
  <c r="F14" i="1"/>
  <c r="N73" i="1"/>
  <c r="F13" i="1"/>
  <c r="E15" i="1"/>
  <c r="E14" i="1"/>
  <c r="D20" i="1"/>
  <c r="D13" i="1"/>
  <c r="D15" i="1"/>
  <c r="L73" i="1"/>
  <c r="J64" i="1"/>
  <c r="B22" i="1"/>
  <c r="B25" i="1" s="1"/>
  <c r="B24" i="1"/>
  <c r="E24" i="1"/>
  <c r="M64" i="1"/>
  <c r="E22" i="1"/>
  <c r="E25" i="1" s="1"/>
  <c r="E28" i="1" s="1"/>
  <c r="E30" i="1" s="1"/>
  <c r="C20" i="1"/>
  <c r="C13" i="1"/>
  <c r="C15" i="1"/>
  <c r="K73" i="1"/>
  <c r="E13" i="1"/>
  <c r="K62" i="1"/>
  <c r="F26" i="1" l="1"/>
  <c r="N63" i="1"/>
  <c r="F28" i="1"/>
  <c r="F30" i="1" s="1"/>
  <c r="M63" i="1"/>
  <c r="E26" i="1"/>
  <c r="J63" i="1"/>
  <c r="B30" i="1"/>
  <c r="E32" i="1" s="1"/>
  <c r="B26" i="1"/>
  <c r="C22" i="1"/>
  <c r="C25" i="1" s="1"/>
  <c r="C24" i="1"/>
  <c r="K64" i="1"/>
  <c r="D24" i="1"/>
  <c r="L64" i="1"/>
  <c r="D22" i="1"/>
  <c r="D25" i="1" s="1"/>
  <c r="F31" i="1" l="1"/>
  <c r="L63" i="1"/>
  <c r="D28" i="1"/>
  <c r="D30" i="1" s="1"/>
  <c r="D26" i="1"/>
  <c r="C26" i="1"/>
  <c r="K63" i="1"/>
  <c r="C28" i="1"/>
  <c r="C30" i="1" s="1"/>
  <c r="F32" i="1" s="1"/>
  <c r="C31" i="1" l="1"/>
  <c r="D31" i="1"/>
  <c r="E31" i="1"/>
</calcChain>
</file>

<file path=xl/sharedStrings.xml><?xml version="1.0" encoding="utf-8"?>
<sst xmlns="http://schemas.openxmlformats.org/spreadsheetml/2006/main" count="157" uniqueCount="119">
  <si>
    <t>Income Statement</t>
  </si>
  <si>
    <t>Balance Sheet</t>
  </si>
  <si>
    <t>Y/E, Mar (Rs. mn)</t>
  </si>
  <si>
    <t>FY19</t>
  </si>
  <si>
    <t>FY20</t>
  </si>
  <si>
    <t>FY21</t>
  </si>
  <si>
    <t>FY22</t>
  </si>
  <si>
    <t xml:space="preserve"> Revenue from Operations </t>
  </si>
  <si>
    <t>EQUITY</t>
  </si>
  <si>
    <t>Growth (%)</t>
  </si>
  <si>
    <t>Share Capital</t>
  </si>
  <si>
    <t>CAGR (%) - 3 Years</t>
  </si>
  <si>
    <t>Other Equity</t>
  </si>
  <si>
    <t>Expenditure</t>
  </si>
  <si>
    <t xml:space="preserve">Non Controlling Interests </t>
  </si>
  <si>
    <t>Cost of material consumed</t>
  </si>
  <si>
    <t xml:space="preserve">NON-CURRENT LIABILITIES </t>
  </si>
  <si>
    <t>Changes in Inventory</t>
  </si>
  <si>
    <t>Long Term Debt</t>
  </si>
  <si>
    <t>Employee Benefit Expense</t>
  </si>
  <si>
    <t xml:space="preserve">Lease Liabilities </t>
  </si>
  <si>
    <t>Other Expenses</t>
  </si>
  <si>
    <t>Other Financial Liabilities</t>
  </si>
  <si>
    <t>EBITDA</t>
  </si>
  <si>
    <t>Other Long term Provision</t>
  </si>
  <si>
    <t>Deferred Tax Liability</t>
  </si>
  <si>
    <t xml:space="preserve">CURRENT LIABILITIES </t>
  </si>
  <si>
    <t>EBITDA margin (%)</t>
  </si>
  <si>
    <t>Contract Liabilities</t>
  </si>
  <si>
    <t>Other Income</t>
  </si>
  <si>
    <t>Short Term Debt</t>
  </si>
  <si>
    <t>Depreciation</t>
  </si>
  <si>
    <t>Finance Cost</t>
  </si>
  <si>
    <t>Trade Payables</t>
  </si>
  <si>
    <t>Excp Item</t>
  </si>
  <si>
    <t>Profit before Tax and Share of Associate &amp; JV</t>
  </si>
  <si>
    <t>Other Current Liabilities</t>
  </si>
  <si>
    <t xml:space="preserve">Share of Profit/Loss of an Associate &amp; JV </t>
  </si>
  <si>
    <t>Provisions</t>
  </si>
  <si>
    <t>PBT</t>
  </si>
  <si>
    <t>Current Tax Liabilities</t>
  </si>
  <si>
    <t>Tax</t>
  </si>
  <si>
    <t>TOTAL LIABILITIES</t>
  </si>
  <si>
    <t>Effective tax rate (%)</t>
  </si>
  <si>
    <t>TOTAL EQUITY AND LIABILITIES</t>
  </si>
  <si>
    <t>PAT</t>
  </si>
  <si>
    <t>PAT margin (%)</t>
  </si>
  <si>
    <t>NON-CURRENT ASSETS</t>
  </si>
  <si>
    <t>Net Profit after tax from discontinued operations</t>
  </si>
  <si>
    <t xml:space="preserve">Property, Plant and Equipment </t>
  </si>
  <si>
    <t>Net Profit after tax from continuing and discontinued operations</t>
  </si>
  <si>
    <t>Capital Work-in-Progress</t>
  </si>
  <si>
    <t>Other Comprehensive Income</t>
  </si>
  <si>
    <t>Goodwill</t>
  </si>
  <si>
    <t>Total Comprehensive Income</t>
  </si>
  <si>
    <t>Other Intangible Assets</t>
  </si>
  <si>
    <t>Investment in a JV</t>
  </si>
  <si>
    <t>CAGR (%)</t>
  </si>
  <si>
    <t xml:space="preserve">Other Investments </t>
  </si>
  <si>
    <t>Trade Receivables</t>
  </si>
  <si>
    <t>EPS</t>
  </si>
  <si>
    <t>Loans &amp; Deposits</t>
  </si>
  <si>
    <t>Other Financial Assets</t>
  </si>
  <si>
    <t>Deferred Tax Asset</t>
  </si>
  <si>
    <t>Non-Current Tax Asset</t>
  </si>
  <si>
    <t>Cash Flow</t>
  </si>
  <si>
    <t>Other Non-current Assets</t>
  </si>
  <si>
    <t>CURRENT ASSETS</t>
  </si>
  <si>
    <t>Cash and Cash Equivalents at Beginning of the year</t>
  </si>
  <si>
    <t>Inventories</t>
  </si>
  <si>
    <t>Cash Flow From Operating Activities</t>
  </si>
  <si>
    <t>Contract Assets</t>
  </si>
  <si>
    <t>Cash Flow from Investing Activities</t>
  </si>
  <si>
    <t>Account Receivable</t>
  </si>
  <si>
    <t>Cash Flow From Financing Activities</t>
  </si>
  <si>
    <t>Cash &amp; Bank Balances</t>
  </si>
  <si>
    <t>Short Term Loans &amp; Advances</t>
  </si>
  <si>
    <t>Other Financial assets</t>
  </si>
  <si>
    <t>Net Inc./(Dec.) in Cash and Cash Equivalent</t>
  </si>
  <si>
    <t>Current Tax Assets</t>
  </si>
  <si>
    <t>Cash and Cash Equivalents at End of the year</t>
  </si>
  <si>
    <t>Other Current Assets</t>
  </si>
  <si>
    <t>-</t>
  </si>
  <si>
    <t>TOTAL ASSETS</t>
  </si>
  <si>
    <t>Our Calculations</t>
  </si>
  <si>
    <t xml:space="preserve">Operating Cash Inflow </t>
  </si>
  <si>
    <t>Loans</t>
  </si>
  <si>
    <t>Capital Employed</t>
  </si>
  <si>
    <t>FCF</t>
  </si>
  <si>
    <t>Key ratios</t>
  </si>
  <si>
    <t xml:space="preserve">Y/E, Mar </t>
  </si>
  <si>
    <t>No. of Shares</t>
  </si>
  <si>
    <t>CMP</t>
  </si>
  <si>
    <t>Market Cap</t>
  </si>
  <si>
    <t>EPS (Rs)</t>
  </si>
  <si>
    <t>Total Debt</t>
  </si>
  <si>
    <t>BVPS (Rs)</t>
  </si>
  <si>
    <t>Cash</t>
  </si>
  <si>
    <t>DPS (Rs)</t>
  </si>
  <si>
    <t>EV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</si>
  <si>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</si>
  <si>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</si>
  <si>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</si>
  <si>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</si>
  <si>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</si>
  <si>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</si>
  <si>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</si>
  <si>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</si>
  <si>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</si>
  <si>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NA</t>
  </si>
  <si>
    <t>Creditor Days</t>
  </si>
  <si>
    <t>Inventory Days</t>
  </si>
  <si>
    <t>Cash Conversion Cycle</t>
  </si>
  <si>
    <t xml:space="preserve">NA </t>
  </si>
  <si>
    <t>Interest Cost</t>
  </si>
  <si>
    <t>Interest Coverage Ratio</t>
  </si>
  <si>
    <t>FY23</t>
  </si>
  <si>
    <t>Exchange differences on translation of foreign subsidiaries</t>
  </si>
  <si>
    <t>Capital Expenditure (Proceeds minus Puchase)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</si>
</sst>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* #,##0.0_ ;_ * \-#,##0.0_ ;_ * &quot;-&quot;??_ ;_ @_ "/>
    <numFmt numFmtId="165" formatCode="0.0"/>
    <numFmt numFmtId="166" formatCode="0.0%"/>
    <numFmt numFmtId="167" formatCode="_ * #,##0_ ;_ * \-#,##0_ ;_ * &quot;-&quot;??_ ;_ @_ "/>
  </numFmts>
  <fonts count="12" x14ac:knownFonts="1">
    <font>
      <sz val="11"/>
      <color theme="1"/>
      <name val="Calibri"/>
      <scheme val="minor"/>
    </font>
    <font>
      <b/>
      <sz val="8"/>
      <color theme="1"/>
      <name val="Arial"/>
    </font>
    <font>
      <sz val="8"/>
      <color theme="1"/>
      <name val="Arial"/>
    </font>
    <font>
      <b/>
      <u/>
      <sz val="8"/>
      <color theme="1"/>
      <name val="Arial"/>
    </font>
    <font>
      <b/>
      <u/>
      <sz val="8"/>
      <color theme="1"/>
      <name val="Arial"/>
    </font>
    <font>
      <b/>
      <u/>
      <sz val="8"/>
      <color theme="1"/>
      <name val="Arial"/>
    </font>
    <font>
      <b/>
      <u/>
      <sz val="8"/>
      <color theme="1"/>
      <name val="Arial"/>
    </font>
    <font>
      <b/>
      <u/>
      <sz val="8"/>
      <color theme="1"/>
      <name val="Arial"/>
    </font>
    <font>
      <b/>
      <u/>
      <sz val="8"/>
      <color theme="1"/>
      <name val="Arial"/>
    </font>
    <font>
      <i/>
      <sz val="8"/>
      <color theme="1"/>
      <name val="Arial"/>
    </font>
    <font>
      <sz val="11"/>
      <color theme="1"/>
      <name val="Calibri"/>
    </font>
    <font>
      <sz val="8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ABF8F"/>
        <bgColor rgb="FFFABF8F"/>
      </patternFill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3" fillId="0" borderId="2" xfId="0" applyFont="1" applyBorder="1"/>
    <xf numFmtId="0" fontId="4" fillId="0" borderId="3" xfId="0" applyFont="1" applyBorder="1"/>
    <xf numFmtId="0" fontId="5" fillId="0" borderId="0" xfId="0" applyFont="1" applyAlignment="1">
      <alignment horizontal="center"/>
    </xf>
    <xf numFmtId="0" fontId="1" fillId="0" borderId="0" xfId="0" applyFont="1"/>
    <xf numFmtId="0" fontId="6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8" fillId="0" borderId="0" xfId="0" applyFont="1" applyAlignment="1">
      <alignment horizontal="center" wrapText="1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4" borderId="4" xfId="0" applyFont="1" applyFill="1" applyBorder="1"/>
    <xf numFmtId="164" fontId="1" fillId="4" borderId="4" xfId="0" applyNumberFormat="1" applyFont="1" applyFill="1" applyBorder="1"/>
    <xf numFmtId="10" fontId="2" fillId="0" borderId="0" xfId="0" applyNumberFormat="1" applyFont="1"/>
    <xf numFmtId="165" fontId="1" fillId="4" borderId="4" xfId="0" applyNumberFormat="1" applyFont="1" applyFill="1" applyBorder="1"/>
    <xf numFmtId="165" fontId="1" fillId="4" borderId="4" xfId="0" applyNumberFormat="1" applyFont="1" applyFill="1" applyBorder="1" applyAlignment="1">
      <alignment horizontal="right"/>
    </xf>
    <xf numFmtId="0" fontId="9" fillId="4" borderId="4" xfId="0" applyFont="1" applyFill="1" applyBorder="1"/>
    <xf numFmtId="166" fontId="9" fillId="4" borderId="4" xfId="0" applyNumberFormat="1" applyFont="1" applyFill="1" applyBorder="1"/>
    <xf numFmtId="0" fontId="2" fillId="0" borderId="4" xfId="0" applyFont="1" applyBorder="1"/>
    <xf numFmtId="164" fontId="2" fillId="2" borderId="4" xfId="0" applyNumberFormat="1" applyFont="1" applyFill="1" applyBorder="1"/>
    <xf numFmtId="165" fontId="2" fillId="2" borderId="4" xfId="0" applyNumberFormat="1" applyFont="1" applyFill="1" applyBorder="1"/>
    <xf numFmtId="165" fontId="2" fillId="0" borderId="4" xfId="0" applyNumberFormat="1" applyFont="1" applyBorder="1" applyAlignment="1">
      <alignment horizontal="right"/>
    </xf>
    <xf numFmtId="165" fontId="2" fillId="0" borderId="4" xfId="0" applyNumberFormat="1" applyFont="1" applyBorder="1"/>
    <xf numFmtId="10" fontId="1" fillId="4" borderId="4" xfId="0" applyNumberFormat="1" applyFont="1" applyFill="1" applyBorder="1"/>
    <xf numFmtId="43" fontId="2" fillId="0" borderId="4" xfId="0" applyNumberFormat="1" applyFont="1" applyBorder="1"/>
    <xf numFmtId="43" fontId="2" fillId="0" borderId="0" xfId="0" applyNumberFormat="1" applyFont="1"/>
    <xf numFmtId="164" fontId="2" fillId="0" borderId="4" xfId="0" applyNumberFormat="1" applyFont="1" applyBorder="1"/>
    <xf numFmtId="43" fontId="1" fillId="4" borderId="4" xfId="0" applyNumberFormat="1" applyFont="1" applyFill="1" applyBorder="1"/>
    <xf numFmtId="4" fontId="10" fillId="0" borderId="0" xfId="0" applyNumberFormat="1" applyFont="1"/>
    <xf numFmtId="0" fontId="2" fillId="2" borderId="4" xfId="0" applyFont="1" applyFill="1" applyBorder="1"/>
    <xf numFmtId="43" fontId="2" fillId="2" borderId="4" xfId="0" applyNumberFormat="1" applyFont="1" applyFill="1" applyBorder="1"/>
    <xf numFmtId="165" fontId="2" fillId="2" borderId="5" xfId="0" applyNumberFormat="1" applyFont="1" applyFill="1" applyBorder="1" applyAlignment="1">
      <alignment horizontal="right"/>
    </xf>
    <xf numFmtId="10" fontId="9" fillId="4" borderId="4" xfId="0" applyNumberFormat="1" applyFont="1" applyFill="1" applyBorder="1"/>
    <xf numFmtId="0" fontId="1" fillId="2" borderId="4" xfId="0" applyFont="1" applyFill="1" applyBorder="1"/>
    <xf numFmtId="164" fontId="1" fillId="2" borderId="4" xfId="0" applyNumberFormat="1" applyFont="1" applyFill="1" applyBorder="1"/>
    <xf numFmtId="2" fontId="1" fillId="4" borderId="4" xfId="0" applyNumberFormat="1" applyFont="1" applyFill="1" applyBorder="1"/>
    <xf numFmtId="0" fontId="1" fillId="0" borderId="4" xfId="0" applyFont="1" applyBorder="1"/>
    <xf numFmtId="43" fontId="1" fillId="0" borderId="4" xfId="0" applyNumberFormat="1" applyFont="1" applyBorder="1"/>
    <xf numFmtId="165" fontId="2" fillId="2" borderId="4" xfId="0" applyNumberFormat="1" applyFont="1" applyFill="1" applyBorder="1" applyAlignment="1">
      <alignment horizontal="right"/>
    </xf>
    <xf numFmtId="0" fontId="1" fillId="0" borderId="4" xfId="0" applyFont="1" applyBorder="1" applyAlignment="1">
      <alignment horizontal="left"/>
    </xf>
    <xf numFmtId="0" fontId="1" fillId="3" borderId="4" xfId="0" applyFont="1" applyFill="1" applyBorder="1" applyAlignment="1">
      <alignment horizontal="right"/>
    </xf>
    <xf numFmtId="165" fontId="2" fillId="4" borderId="4" xfId="0" applyNumberFormat="1" applyFont="1" applyFill="1" applyBorder="1"/>
    <xf numFmtId="164" fontId="2" fillId="4" borderId="4" xfId="0" applyNumberFormat="1" applyFont="1" applyFill="1" applyBorder="1"/>
    <xf numFmtId="0" fontId="2" fillId="0" borderId="6" xfId="0" applyFont="1" applyBorder="1"/>
    <xf numFmtId="164" fontId="1" fillId="2" borderId="7" xfId="0" applyNumberFormat="1" applyFont="1" applyFill="1" applyBorder="1"/>
    <xf numFmtId="43" fontId="1" fillId="3" borderId="4" xfId="0" applyNumberFormat="1" applyFont="1" applyFill="1" applyBorder="1" applyAlignment="1">
      <alignment horizontal="center"/>
    </xf>
    <xf numFmtId="3" fontId="11" fillId="0" borderId="4" xfId="0" applyNumberFormat="1" applyFont="1" applyBorder="1"/>
    <xf numFmtId="165" fontId="1" fillId="0" borderId="4" xfId="0" applyNumberFormat="1" applyFont="1" applyBorder="1"/>
    <xf numFmtId="43" fontId="2" fillId="4" borderId="4" xfId="0" applyNumberFormat="1" applyFont="1" applyFill="1" applyBorder="1"/>
    <xf numFmtId="166" fontId="1" fillId="0" borderId="4" xfId="0" applyNumberFormat="1" applyFont="1" applyBorder="1"/>
    <xf numFmtId="10" fontId="2" fillId="4" borderId="4" xfId="0" applyNumberFormat="1" applyFont="1" applyFill="1" applyBorder="1"/>
    <xf numFmtId="165" fontId="2" fillId="0" borderId="0" xfId="0" applyNumberFormat="1" applyFont="1"/>
    <xf numFmtId="167" fontId="2" fillId="0" borderId="0" xfId="0" applyNumberFormat="1" applyFont="1"/>
    <xf numFmtId="10" fontId="1" fillId="0" borderId="4" xfId="0" applyNumberFormat="1" applyFont="1" applyBorder="1"/>
    <xf numFmtId="167" fontId="2" fillId="4" borderId="4" xfId="0" applyNumberFormat="1" applyFont="1" applyFill="1" applyBorder="1" applyAlignment="1">
      <alignment horizontal="right"/>
    </xf>
    <xf numFmtId="167" fontId="2" fillId="4" borderId="4" xfId="0" applyNumberFormat="1" applyFont="1" applyFill="1" applyBorder="1"/>
    <xf numFmtId="164" fontId="2" fillId="0" borderId="0" xfId="0" applyNumberFormat="1" applyFont="1"/>
    <xf numFmtId="43" fontId="2" fillId="4" borderId="4" xfId="0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164" fontId="2" fillId="2" borderId="8" xfId="0" applyNumberFormat="1" applyFont="1" applyFill="1" applyBorder="1"/>
    <xf numFmtId="0" fontId="2" fillId="0" borderId="9" xfId="0" applyFont="1" applyBorder="1"/>
    <xf numFmtId="165" fontId="2" fillId="0" borderId="9" xfId="0" applyNumberFormat="1" applyFont="1" applyBorder="1"/>
    <xf numFmtId="0" fontId="1" fillId="4" borderId="10" xfId="0" applyFont="1" applyFill="1" applyBorder="1"/>
    <xf numFmtId="164" fontId="1" fillId="4" borderId="1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Z1000"/>
  <sheetViews>
    <sheetView tabSelected="1" workbookViewId="0">
      <selection activeCell="G51" sqref="G51"/>
    </sheetView>
  </sheetViews>
  <sheetFormatPr defaultColWidth="14.42578125" defaultRowHeight="15" customHeight="1" x14ac:dyDescent="0.25"/>
  <cols>
    <col min="1" max="1" width="52.85546875" customWidth="1"/>
    <col min="2" max="2" width="11.140625" customWidth="1"/>
    <col min="3" max="3" width="11.5703125" customWidth="1"/>
    <col min="4" max="4" width="10" customWidth="1"/>
    <col min="5" max="6" width="10.140625" customWidth="1"/>
    <col min="7" max="7" width="10.5703125" customWidth="1"/>
    <col min="8" max="8" width="3.85546875" customWidth="1"/>
    <col min="9" max="9" width="55.140625" customWidth="1"/>
    <col min="10" max="10" width="8.42578125" customWidth="1"/>
    <col min="11" max="11" width="9.7109375" customWidth="1"/>
    <col min="12" max="12" width="9.85546875" customWidth="1"/>
    <col min="13" max="13" width="9.140625" customWidth="1"/>
    <col min="14" max="14" width="10.85546875" customWidth="1"/>
    <col min="15" max="15" width="14.85546875" customWidth="1"/>
    <col min="16" max="26" width="9.140625" customWidth="1"/>
  </cols>
  <sheetData>
    <row r="1" spans="1:26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" customHeight="1" x14ac:dyDescent="0.25">
      <c r="A2" s="4" t="s">
        <v>0</v>
      </c>
      <c r="B2" s="5"/>
      <c r="C2" s="5"/>
      <c r="D2" s="5"/>
      <c r="E2" s="5"/>
      <c r="F2" s="6"/>
      <c r="G2" s="7"/>
      <c r="H2" s="7"/>
      <c r="I2" s="8" t="s">
        <v>1</v>
      </c>
      <c r="J2" s="9"/>
      <c r="K2" s="9"/>
      <c r="L2" s="9"/>
      <c r="M2" s="9"/>
      <c r="N2" s="10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" customHeight="1" x14ac:dyDescent="0.25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116</v>
      </c>
      <c r="G3" s="7"/>
      <c r="H3" s="7"/>
      <c r="I3" s="11" t="s">
        <v>2</v>
      </c>
      <c r="J3" s="13" t="s">
        <v>3</v>
      </c>
      <c r="K3" s="13" t="s">
        <v>4</v>
      </c>
      <c r="L3" s="13" t="s">
        <v>5</v>
      </c>
      <c r="M3" s="13" t="s">
        <v>6</v>
      </c>
      <c r="N3" s="13" t="s">
        <v>116</v>
      </c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" customHeight="1" x14ac:dyDescent="0.25">
      <c r="A4" s="14" t="s">
        <v>7</v>
      </c>
      <c r="B4" s="15">
        <v>11564.682000000001</v>
      </c>
      <c r="C4" s="15">
        <v>9088.8719999999994</v>
      </c>
      <c r="D4" s="15">
        <v>9948.3060000000005</v>
      </c>
      <c r="E4" s="15">
        <v>11812.778</v>
      </c>
      <c r="F4" s="15">
        <v>17847.900000000001</v>
      </c>
      <c r="G4" s="16"/>
      <c r="H4" s="16"/>
      <c r="I4" s="14" t="s">
        <v>8</v>
      </c>
      <c r="J4" s="17">
        <f t="shared" ref="J4:M4" si="0">J5+J6+J7</f>
        <v>4380.7699999999995</v>
      </c>
      <c r="K4" s="17">
        <f t="shared" si="0"/>
        <v>4812.8999999999996</v>
      </c>
      <c r="L4" s="17">
        <f t="shared" si="0"/>
        <v>5898.9000000000005</v>
      </c>
      <c r="M4" s="17">
        <f t="shared" si="0"/>
        <v>7056.2999999999993</v>
      </c>
      <c r="N4" s="18">
        <f>(N5+N6+N7)</f>
        <v>9128.5709999999999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" customHeight="1" x14ac:dyDescent="0.25">
      <c r="A5" s="19" t="s">
        <v>9</v>
      </c>
      <c r="B5" s="20"/>
      <c r="C5" s="20">
        <f t="shared" ref="C5:F5" si="1">C4/B4-1</f>
        <v>-0.21408370761945739</v>
      </c>
      <c r="D5" s="20">
        <f t="shared" si="1"/>
        <v>9.4558928764757688E-2</v>
      </c>
      <c r="E5" s="20">
        <f t="shared" si="1"/>
        <v>0.18741602841730032</v>
      </c>
      <c r="F5" s="20">
        <f t="shared" si="1"/>
        <v>0.51089777527352176</v>
      </c>
      <c r="G5" s="3"/>
      <c r="H5" s="3"/>
      <c r="I5" s="21" t="s">
        <v>10</v>
      </c>
      <c r="J5" s="22">
        <v>97.67</v>
      </c>
      <c r="K5" s="23">
        <v>97.7</v>
      </c>
      <c r="L5" s="23">
        <v>97.7</v>
      </c>
      <c r="M5" s="23">
        <v>97.7</v>
      </c>
      <c r="N5" s="24">
        <v>97.671000000000006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" customHeight="1" x14ac:dyDescent="0.25">
      <c r="A6" s="19" t="s">
        <v>11</v>
      </c>
      <c r="B6" s="20"/>
      <c r="C6" s="20"/>
      <c r="D6" s="20"/>
      <c r="E6" s="20">
        <f>+(E4/B4)^(1/3)-1</f>
        <v>7.1004321704295492E-3</v>
      </c>
      <c r="F6" s="20">
        <f>+(F4/C4)^(1/3)-1</f>
        <v>0.25225385960701918</v>
      </c>
      <c r="G6" s="3"/>
      <c r="H6" s="3"/>
      <c r="I6" s="21" t="s">
        <v>12</v>
      </c>
      <c r="J6" s="22">
        <v>3974.2</v>
      </c>
      <c r="K6" s="22">
        <v>4438.7</v>
      </c>
      <c r="L6" s="22">
        <v>5327.1</v>
      </c>
      <c r="M6" s="22">
        <v>6247.2</v>
      </c>
      <c r="N6" s="24">
        <v>8000.6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" customHeight="1" x14ac:dyDescent="0.25">
      <c r="A7" s="14" t="s">
        <v>13</v>
      </c>
      <c r="B7" s="15">
        <f t="shared" ref="B7:F7" si="2">SUM(B8:B11)</f>
        <v>9224.5619999999999</v>
      </c>
      <c r="C7" s="15">
        <f t="shared" si="2"/>
        <v>7887.1570000000002</v>
      </c>
      <c r="D7" s="15">
        <f t="shared" si="2"/>
        <v>8382.4760000000006</v>
      </c>
      <c r="E7" s="15">
        <f t="shared" si="2"/>
        <v>9710.3829999999998</v>
      </c>
      <c r="F7" s="15">
        <f t="shared" si="2"/>
        <v>14602.399999999998</v>
      </c>
      <c r="G7" s="3"/>
      <c r="H7" s="3"/>
      <c r="I7" s="21" t="s">
        <v>14</v>
      </c>
      <c r="J7" s="23">
        <v>308.89999999999998</v>
      </c>
      <c r="K7" s="22">
        <v>276.5</v>
      </c>
      <c r="L7" s="22">
        <v>474.1</v>
      </c>
      <c r="M7" s="22">
        <v>711.4</v>
      </c>
      <c r="N7" s="24">
        <v>1030.3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" customHeight="1" x14ac:dyDescent="0.25">
      <c r="A8" s="3" t="s">
        <v>15</v>
      </c>
      <c r="B8" s="25">
        <v>5037.7</v>
      </c>
      <c r="C8" s="25">
        <v>4000.3359999999998</v>
      </c>
      <c r="D8" s="25">
        <v>4028.9879999999998</v>
      </c>
      <c r="E8" s="25">
        <v>5396.2929999999997</v>
      </c>
      <c r="F8" s="25">
        <v>10083.6</v>
      </c>
      <c r="G8" s="3"/>
      <c r="H8" s="3"/>
      <c r="I8" s="14" t="s">
        <v>16</v>
      </c>
      <c r="J8" s="17">
        <f t="shared" ref="J8:M8" si="3">SUM(J9:J13)</f>
        <v>474.5</v>
      </c>
      <c r="K8" s="17">
        <f t="shared" si="3"/>
        <v>2549.8999999999996</v>
      </c>
      <c r="L8" s="17">
        <f t="shared" si="3"/>
        <v>2167.0000000000005</v>
      </c>
      <c r="M8" s="17">
        <f t="shared" si="3"/>
        <v>1752.7</v>
      </c>
      <c r="N8" s="17">
        <v>1460.8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" customHeight="1" x14ac:dyDescent="0.25">
      <c r="A9" s="21" t="s">
        <v>17</v>
      </c>
      <c r="B9" s="25">
        <v>163.03100000000001</v>
      </c>
      <c r="C9" s="25">
        <v>-71.313999999999993</v>
      </c>
      <c r="D9" s="25">
        <v>220.20099999999999</v>
      </c>
      <c r="E9" s="25">
        <v>-242.46</v>
      </c>
      <c r="F9" s="25">
        <v>-296.2</v>
      </c>
      <c r="G9" s="3"/>
      <c r="H9" s="3"/>
      <c r="I9" s="21" t="s">
        <v>18</v>
      </c>
      <c r="J9" s="23">
        <v>228.6</v>
      </c>
      <c r="K9" s="23">
        <v>1865.6</v>
      </c>
      <c r="L9" s="23">
        <v>1482.9</v>
      </c>
      <c r="M9" s="23">
        <v>1220</v>
      </c>
      <c r="N9" s="24">
        <v>910.6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" customHeight="1" x14ac:dyDescent="0.25">
      <c r="A10" s="21" t="s">
        <v>19</v>
      </c>
      <c r="B10" s="25">
        <v>1609.14</v>
      </c>
      <c r="C10" s="25">
        <v>1823.894</v>
      </c>
      <c r="D10" s="25">
        <v>1929.2660000000001</v>
      </c>
      <c r="E10" s="25">
        <v>2053.4110000000001</v>
      </c>
      <c r="F10" s="25">
        <v>2193.1999999999998</v>
      </c>
      <c r="G10" s="3"/>
      <c r="H10" s="3"/>
      <c r="I10" s="21" t="s">
        <v>20</v>
      </c>
      <c r="J10" s="22"/>
      <c r="K10" s="22"/>
      <c r="L10" s="22">
        <v>277.7</v>
      </c>
      <c r="M10" s="3">
        <v>247.4</v>
      </c>
      <c r="N10" s="24">
        <v>203.9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" customHeight="1" x14ac:dyDescent="0.25">
      <c r="A11" s="21" t="s">
        <v>21</v>
      </c>
      <c r="B11" s="25">
        <v>2414.6909999999998</v>
      </c>
      <c r="C11" s="25">
        <v>2134.241</v>
      </c>
      <c r="D11" s="25">
        <v>2204.0210000000002</v>
      </c>
      <c r="E11" s="25">
        <v>2503.1390000000001</v>
      </c>
      <c r="F11" s="25">
        <v>2621.8</v>
      </c>
      <c r="G11" s="3"/>
      <c r="H11" s="3"/>
      <c r="I11" s="21" t="s">
        <v>22</v>
      </c>
      <c r="J11" s="23"/>
      <c r="K11" s="23">
        <v>231.7</v>
      </c>
      <c r="L11" s="23">
        <v>0.2</v>
      </c>
      <c r="M11" s="22"/>
      <c r="N11" s="24">
        <v>9.6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" customHeight="1" x14ac:dyDescent="0.25">
      <c r="A12" s="14" t="s">
        <v>23</v>
      </c>
      <c r="B12" s="15">
        <f t="shared" ref="B12:F12" si="4">(B4-B7)</f>
        <v>2340.1200000000008</v>
      </c>
      <c r="C12" s="15">
        <f t="shared" si="4"/>
        <v>1201.7149999999992</v>
      </c>
      <c r="D12" s="15">
        <f t="shared" si="4"/>
        <v>1565.83</v>
      </c>
      <c r="E12" s="15">
        <f t="shared" si="4"/>
        <v>2102.3950000000004</v>
      </c>
      <c r="F12" s="15">
        <f t="shared" si="4"/>
        <v>3245.5000000000036</v>
      </c>
      <c r="G12" s="3"/>
      <c r="H12" s="3"/>
      <c r="I12" s="21" t="s">
        <v>24</v>
      </c>
      <c r="J12" s="23">
        <v>151.1</v>
      </c>
      <c r="K12" s="23">
        <v>375.7</v>
      </c>
      <c r="L12" s="23">
        <v>380.9</v>
      </c>
      <c r="M12" s="23">
        <v>265.3</v>
      </c>
      <c r="N12" s="24">
        <v>241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" customHeight="1" x14ac:dyDescent="0.25">
      <c r="A13" s="19" t="s">
        <v>9</v>
      </c>
      <c r="B13" s="20"/>
      <c r="C13" s="20">
        <f t="shared" ref="C13:F13" si="5">C12/B12-1</f>
        <v>-0.48647291591884223</v>
      </c>
      <c r="D13" s="20">
        <f t="shared" si="5"/>
        <v>0.30299613469083853</v>
      </c>
      <c r="E13" s="20">
        <f t="shared" si="5"/>
        <v>0.34267129892772563</v>
      </c>
      <c r="F13" s="20">
        <f t="shared" si="5"/>
        <v>0.54371561956720926</v>
      </c>
      <c r="G13" s="3"/>
      <c r="H13" s="3"/>
      <c r="I13" s="21" t="s">
        <v>25</v>
      </c>
      <c r="J13" s="22">
        <v>94.8</v>
      </c>
      <c r="K13" s="22">
        <v>76.900000000000006</v>
      </c>
      <c r="L13" s="22">
        <v>25.3</v>
      </c>
      <c r="M13" s="22">
        <v>20</v>
      </c>
      <c r="N13" s="24">
        <v>94.8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" customHeight="1" x14ac:dyDescent="0.25">
      <c r="A14" s="19" t="s">
        <v>11</v>
      </c>
      <c r="B14" s="20"/>
      <c r="C14" s="20"/>
      <c r="D14" s="20"/>
      <c r="E14" s="20">
        <f>+(E12/B12)^(1/3)-1</f>
        <v>-3.5078324618514789E-2</v>
      </c>
      <c r="F14" s="20">
        <f>+(F12/C12)^(1/3)-1</f>
        <v>0.39260102483260195</v>
      </c>
      <c r="G14" s="3"/>
      <c r="H14" s="3"/>
      <c r="I14" s="14" t="s">
        <v>26</v>
      </c>
      <c r="J14" s="15">
        <f t="shared" ref="J14:M14" si="6">SUM(J15:J22)</f>
        <v>5648.4000000000005</v>
      </c>
      <c r="K14" s="15">
        <f t="shared" si="6"/>
        <v>6734.1</v>
      </c>
      <c r="L14" s="15">
        <f t="shared" si="6"/>
        <v>7102.0000000000009</v>
      </c>
      <c r="M14" s="15">
        <f t="shared" si="6"/>
        <v>9264.7999999999993</v>
      </c>
      <c r="N14" s="18">
        <f>(SUM(N15:N22))</f>
        <v>11230.100000000002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" customHeight="1" x14ac:dyDescent="0.25">
      <c r="A15" s="14" t="s">
        <v>27</v>
      </c>
      <c r="B15" s="26">
        <f t="shared" ref="B15:F15" si="7">(B12/B4)</f>
        <v>0.20235057046964203</v>
      </c>
      <c r="C15" s="26">
        <f t="shared" si="7"/>
        <v>0.13221827747161577</v>
      </c>
      <c r="D15" s="26">
        <f t="shared" si="7"/>
        <v>0.15739664622298508</v>
      </c>
      <c r="E15" s="26">
        <f t="shared" si="7"/>
        <v>0.17797634053564712</v>
      </c>
      <c r="F15" s="26">
        <f t="shared" si="7"/>
        <v>0.18184212148207932</v>
      </c>
      <c r="G15" s="16"/>
      <c r="H15" s="3"/>
      <c r="I15" s="21" t="s">
        <v>28</v>
      </c>
      <c r="J15" s="22">
        <v>1702.1</v>
      </c>
      <c r="K15" s="22">
        <v>1677.7</v>
      </c>
      <c r="L15" s="3">
        <v>2280.6</v>
      </c>
      <c r="M15" s="22">
        <v>2844.4</v>
      </c>
      <c r="N15" s="27">
        <v>4001.2</v>
      </c>
      <c r="O15" s="28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" customHeight="1" x14ac:dyDescent="0.25">
      <c r="A16" s="21" t="s">
        <v>29</v>
      </c>
      <c r="B16" s="29">
        <v>206.46799999999999</v>
      </c>
      <c r="C16" s="29">
        <v>153.12299999999999</v>
      </c>
      <c r="D16" s="29">
        <v>94.620999999999995</v>
      </c>
      <c r="E16" s="29">
        <v>85.914000000000001</v>
      </c>
      <c r="F16" s="29">
        <v>281.89999999999998</v>
      </c>
      <c r="G16" s="3"/>
      <c r="H16" s="3"/>
      <c r="I16" s="21" t="s">
        <v>30</v>
      </c>
      <c r="J16" s="22">
        <v>988.9</v>
      </c>
      <c r="K16" s="22">
        <v>1716.2</v>
      </c>
      <c r="L16" s="22">
        <v>1258.2</v>
      </c>
      <c r="M16" s="22">
        <v>1570.8</v>
      </c>
      <c r="N16" s="27">
        <v>1351.7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" customHeight="1" x14ac:dyDescent="0.25">
      <c r="A17" s="21" t="s">
        <v>31</v>
      </c>
      <c r="B17" s="29">
        <v>194.19300000000001</v>
      </c>
      <c r="C17" s="29">
        <v>372.64699999999999</v>
      </c>
      <c r="D17" s="29">
        <v>369.49900000000002</v>
      </c>
      <c r="E17" s="29">
        <v>372.637</v>
      </c>
      <c r="F17" s="29">
        <v>357.8</v>
      </c>
      <c r="G17" s="3"/>
      <c r="H17" s="3"/>
      <c r="I17" s="21" t="s">
        <v>20</v>
      </c>
      <c r="J17" s="22"/>
      <c r="K17" s="22"/>
      <c r="L17" s="22">
        <v>99.2</v>
      </c>
      <c r="M17" s="22">
        <v>128.5</v>
      </c>
      <c r="N17" s="27">
        <v>111.8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" customHeight="1" x14ac:dyDescent="0.25">
      <c r="A18" s="21" t="s">
        <v>32</v>
      </c>
      <c r="B18" s="29">
        <v>131.239</v>
      </c>
      <c r="C18" s="29">
        <v>209.922</v>
      </c>
      <c r="D18" s="29">
        <v>225.036</v>
      </c>
      <c r="E18" s="29">
        <v>198.56800000000001</v>
      </c>
      <c r="F18" s="29">
        <v>246.5</v>
      </c>
      <c r="G18" s="3"/>
      <c r="H18" s="3"/>
      <c r="I18" s="21" t="s">
        <v>33</v>
      </c>
      <c r="J18" s="23">
        <v>2157.3000000000002</v>
      </c>
      <c r="K18" s="23">
        <v>2244.1999999999998</v>
      </c>
      <c r="L18" s="23">
        <v>2522.6</v>
      </c>
      <c r="M18" s="23">
        <v>3863.8</v>
      </c>
      <c r="N18" s="27">
        <v>4715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" customHeight="1" x14ac:dyDescent="0.25">
      <c r="A19" s="21" t="s">
        <v>34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3"/>
      <c r="H19" s="3"/>
      <c r="I19" s="21" t="s">
        <v>22</v>
      </c>
      <c r="J19" s="23">
        <v>326.3</v>
      </c>
      <c r="K19" s="23">
        <v>667.1</v>
      </c>
      <c r="L19" s="23">
        <v>190.3</v>
      </c>
      <c r="M19" s="23">
        <v>199.4</v>
      </c>
      <c r="N19" s="27">
        <v>260.60000000000002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" customHeight="1" x14ac:dyDescent="0.25">
      <c r="A20" s="14" t="s">
        <v>35</v>
      </c>
      <c r="B20" s="30">
        <f t="shared" ref="B20:F20" si="8">B12+B16-B17-B18</f>
        <v>2221.1560000000004</v>
      </c>
      <c r="C20" s="30">
        <f t="shared" si="8"/>
        <v>772.26899999999932</v>
      </c>
      <c r="D20" s="30">
        <f t="shared" si="8"/>
        <v>1065.9159999999999</v>
      </c>
      <c r="E20" s="30">
        <f t="shared" si="8"/>
        <v>1617.1040000000007</v>
      </c>
      <c r="F20" s="30">
        <f t="shared" si="8"/>
        <v>2923.1000000000035</v>
      </c>
      <c r="G20" s="3"/>
      <c r="H20" s="3"/>
      <c r="I20" s="21" t="s">
        <v>36</v>
      </c>
      <c r="J20" s="23">
        <v>91.5</v>
      </c>
      <c r="K20" s="23">
        <v>99.4</v>
      </c>
      <c r="L20" s="23">
        <v>181.1</v>
      </c>
      <c r="M20" s="23">
        <v>164.3</v>
      </c>
      <c r="N20" s="27">
        <v>289.10000000000002</v>
      </c>
      <c r="O20" s="31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" customHeight="1" x14ac:dyDescent="0.25">
      <c r="A21" s="32" t="s">
        <v>37</v>
      </c>
      <c r="B21" s="33">
        <v>7.6150000000000002</v>
      </c>
      <c r="C21" s="33">
        <v>11.317</v>
      </c>
      <c r="D21" s="33">
        <v>21.651</v>
      </c>
      <c r="E21" s="33">
        <v>13.488</v>
      </c>
      <c r="F21" s="33">
        <v>26.8</v>
      </c>
      <c r="G21" s="3"/>
      <c r="H21" s="3"/>
      <c r="I21" s="21" t="s">
        <v>38</v>
      </c>
      <c r="J21" s="23">
        <v>103.6</v>
      </c>
      <c r="K21" s="23">
        <v>66.8</v>
      </c>
      <c r="L21" s="23">
        <v>109.7</v>
      </c>
      <c r="M21" s="23">
        <v>120.2</v>
      </c>
      <c r="N21" s="27">
        <v>117.7</v>
      </c>
      <c r="O21" s="34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" customHeight="1" x14ac:dyDescent="0.25">
      <c r="A22" s="14" t="s">
        <v>39</v>
      </c>
      <c r="B22" s="30">
        <f t="shared" ref="B22:F22" si="9">B20+B21</f>
        <v>2228.7710000000002</v>
      </c>
      <c r="C22" s="30">
        <f t="shared" si="9"/>
        <v>783.58599999999933</v>
      </c>
      <c r="D22" s="30">
        <f t="shared" si="9"/>
        <v>1087.567</v>
      </c>
      <c r="E22" s="30">
        <f t="shared" si="9"/>
        <v>1630.5920000000008</v>
      </c>
      <c r="F22" s="30">
        <f t="shared" si="9"/>
        <v>2949.9000000000037</v>
      </c>
      <c r="G22" s="3"/>
      <c r="H22" s="3"/>
      <c r="I22" s="21" t="s">
        <v>40</v>
      </c>
      <c r="J22" s="23">
        <v>278.7</v>
      </c>
      <c r="K22" s="23">
        <v>262.7</v>
      </c>
      <c r="L22" s="23">
        <v>460.3</v>
      </c>
      <c r="M22" s="23">
        <v>373.4</v>
      </c>
      <c r="N22" s="27">
        <v>383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" customHeight="1" x14ac:dyDescent="0.25">
      <c r="A23" s="21" t="s">
        <v>41</v>
      </c>
      <c r="B23" s="25">
        <v>655.51900000000001</v>
      </c>
      <c r="C23" s="25">
        <v>227.964</v>
      </c>
      <c r="D23" s="25">
        <v>305.01900000000001</v>
      </c>
      <c r="E23" s="25">
        <v>450.45</v>
      </c>
      <c r="F23" s="25">
        <v>749.6</v>
      </c>
      <c r="G23" s="3"/>
      <c r="H23" s="3"/>
      <c r="I23" s="14" t="s">
        <v>42</v>
      </c>
      <c r="J23" s="17">
        <f t="shared" ref="J23:M23" si="10">J14+J8</f>
        <v>6122.9000000000005</v>
      </c>
      <c r="K23" s="17">
        <f t="shared" si="10"/>
        <v>9284</v>
      </c>
      <c r="L23" s="17">
        <f t="shared" si="10"/>
        <v>9269.0000000000018</v>
      </c>
      <c r="M23" s="17">
        <f t="shared" si="10"/>
        <v>11017.5</v>
      </c>
      <c r="N23" s="18">
        <f>(N14+N8)</f>
        <v>12690.900000000001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" customHeight="1" x14ac:dyDescent="0.25">
      <c r="A24" s="19" t="s">
        <v>43</v>
      </c>
      <c r="B24" s="35">
        <f t="shared" ref="B24:F24" si="11">(B23/B20)</f>
        <v>0.2951251510474725</v>
      </c>
      <c r="C24" s="35">
        <f t="shared" si="11"/>
        <v>0.29518729872622129</v>
      </c>
      <c r="D24" s="35">
        <f t="shared" si="11"/>
        <v>0.28615669527429932</v>
      </c>
      <c r="E24" s="35">
        <f t="shared" si="11"/>
        <v>0.27855351294660069</v>
      </c>
      <c r="F24" s="35">
        <f t="shared" si="11"/>
        <v>0.25644008073620439</v>
      </c>
      <c r="G24" s="3"/>
      <c r="H24" s="3"/>
      <c r="I24" s="14" t="s">
        <v>44</v>
      </c>
      <c r="J24" s="17">
        <f t="shared" ref="J24:M24" si="12">J23+J4</f>
        <v>10503.67</v>
      </c>
      <c r="K24" s="17">
        <f t="shared" si="12"/>
        <v>14096.9</v>
      </c>
      <c r="L24" s="17">
        <f t="shared" si="12"/>
        <v>15167.900000000001</v>
      </c>
      <c r="M24" s="17">
        <f t="shared" si="12"/>
        <v>18073.8</v>
      </c>
      <c r="N24" s="18">
        <f>(N23+N4)</f>
        <v>21819.471000000001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" customHeight="1" x14ac:dyDescent="0.25">
      <c r="A25" s="36" t="s">
        <v>45</v>
      </c>
      <c r="B25" s="37">
        <f t="shared" ref="B25:F25" si="13">B22-B23</f>
        <v>1573.2520000000002</v>
      </c>
      <c r="C25" s="37">
        <f t="shared" si="13"/>
        <v>555.62199999999939</v>
      </c>
      <c r="D25" s="37">
        <f t="shared" si="13"/>
        <v>782.548</v>
      </c>
      <c r="E25" s="37">
        <f t="shared" si="13"/>
        <v>1180.1420000000007</v>
      </c>
      <c r="F25" s="37">
        <f t="shared" si="13"/>
        <v>2200.3000000000038</v>
      </c>
      <c r="G25" s="3"/>
      <c r="H25" s="3"/>
      <c r="I25" s="21"/>
      <c r="J25" s="23"/>
      <c r="K25" s="23"/>
      <c r="L25" s="23"/>
      <c r="M25" s="23"/>
      <c r="N25" s="24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" customHeight="1" x14ac:dyDescent="0.25">
      <c r="A26" s="14" t="s">
        <v>46</v>
      </c>
      <c r="B26" s="26">
        <f t="shared" ref="B26:F26" si="14">B25/B4</f>
        <v>0.13603936537122249</v>
      </c>
      <c r="C26" s="26">
        <f t="shared" si="14"/>
        <v>6.1132118485110083E-2</v>
      </c>
      <c r="D26" s="26">
        <f t="shared" si="14"/>
        <v>7.8661432408693499E-2</v>
      </c>
      <c r="E26" s="26">
        <f t="shared" si="14"/>
        <v>9.9903849881882209E-2</v>
      </c>
      <c r="F26" s="26">
        <f t="shared" si="14"/>
        <v>0.12328061004375886</v>
      </c>
      <c r="G26" s="3"/>
      <c r="H26" s="3"/>
      <c r="I26" s="14" t="s">
        <v>47</v>
      </c>
      <c r="J26" s="17">
        <f t="shared" ref="J26:M26" si="15">SUM(J27:J38)</f>
        <v>3275.3420000000006</v>
      </c>
      <c r="K26" s="17">
        <f t="shared" si="15"/>
        <v>5862</v>
      </c>
      <c r="L26" s="17">
        <f t="shared" si="15"/>
        <v>5504.9999999999991</v>
      </c>
      <c r="M26" s="17">
        <f t="shared" si="15"/>
        <v>5578.6</v>
      </c>
      <c r="N26" s="18">
        <f>(SUM(N27:N38))</f>
        <v>6084.1999999999989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" customHeight="1" x14ac:dyDescent="0.25">
      <c r="A27" s="14" t="s">
        <v>48</v>
      </c>
      <c r="B27" s="26"/>
      <c r="C27" s="14">
        <v>-17.23</v>
      </c>
      <c r="D27" s="17">
        <v>204.34200000000001</v>
      </c>
      <c r="E27" s="17">
        <v>2.0379999999999998</v>
      </c>
      <c r="F27" s="14">
        <v>-3.6</v>
      </c>
      <c r="G27" s="3"/>
      <c r="H27" s="3"/>
      <c r="I27" s="21" t="s">
        <v>49</v>
      </c>
      <c r="J27" s="23">
        <v>1282.8</v>
      </c>
      <c r="K27" s="23">
        <v>3581</v>
      </c>
      <c r="L27" s="23">
        <v>3235.9</v>
      </c>
      <c r="M27" s="23">
        <v>3164.3</v>
      </c>
      <c r="N27" s="24">
        <v>3649.2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" customHeight="1" x14ac:dyDescent="0.25">
      <c r="A28" s="14" t="s">
        <v>50</v>
      </c>
      <c r="B28" s="26"/>
      <c r="C28" s="17">
        <f t="shared" ref="C28:F28" si="16">C25+C27</f>
        <v>538.39199999999937</v>
      </c>
      <c r="D28" s="17">
        <f t="shared" si="16"/>
        <v>986.89</v>
      </c>
      <c r="E28" s="17">
        <f t="shared" si="16"/>
        <v>1182.1800000000007</v>
      </c>
      <c r="F28" s="17">
        <f t="shared" si="16"/>
        <v>2196.7000000000039</v>
      </c>
      <c r="G28" s="3"/>
      <c r="H28" s="3"/>
      <c r="I28" s="21" t="s">
        <v>51</v>
      </c>
      <c r="J28" s="23">
        <v>6.4</v>
      </c>
      <c r="K28" s="23">
        <v>12</v>
      </c>
      <c r="L28" s="23">
        <v>5.6</v>
      </c>
      <c r="M28" s="23">
        <v>91.5</v>
      </c>
      <c r="N28" s="24">
        <v>90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" customHeight="1" x14ac:dyDescent="0.25">
      <c r="A29" s="21" t="s">
        <v>52</v>
      </c>
      <c r="B29" s="25">
        <f>-117</f>
        <v>-117</v>
      </c>
      <c r="C29" s="25">
        <v>-32.485999999999997</v>
      </c>
      <c r="D29" s="25">
        <v>139.828</v>
      </c>
      <c r="E29" s="25">
        <v>72.882000000000005</v>
      </c>
      <c r="F29" s="25">
        <v>-125.2</v>
      </c>
      <c r="G29" s="3"/>
      <c r="H29" s="3"/>
      <c r="I29" s="21" t="s">
        <v>53</v>
      </c>
      <c r="J29" s="23">
        <v>378.3</v>
      </c>
      <c r="K29" s="23">
        <v>475.8</v>
      </c>
      <c r="L29" s="23">
        <v>611.70000000000005</v>
      </c>
      <c r="M29" s="23">
        <v>617.9</v>
      </c>
      <c r="N29" s="24">
        <v>550.4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" customHeight="1" x14ac:dyDescent="0.25">
      <c r="A30" s="14" t="s">
        <v>54</v>
      </c>
      <c r="B30" s="15">
        <f>B25+B29</f>
        <v>1456.2520000000002</v>
      </c>
      <c r="C30" s="15">
        <f t="shared" ref="C30:F30" si="17">C28+C29</f>
        <v>505.90599999999938</v>
      </c>
      <c r="D30" s="15">
        <f t="shared" si="17"/>
        <v>1126.7180000000001</v>
      </c>
      <c r="E30" s="15">
        <f t="shared" si="17"/>
        <v>1255.0620000000008</v>
      </c>
      <c r="F30" s="15">
        <f t="shared" si="17"/>
        <v>2071.5000000000041</v>
      </c>
      <c r="G30" s="3"/>
      <c r="H30" s="3"/>
      <c r="I30" s="21" t="s">
        <v>55</v>
      </c>
      <c r="J30" s="22">
        <v>96.9</v>
      </c>
      <c r="K30" s="22">
        <v>434.6</v>
      </c>
      <c r="L30" s="22">
        <v>437.5</v>
      </c>
      <c r="M30" s="22">
        <v>423.5</v>
      </c>
      <c r="N30" s="24">
        <v>470.6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" customHeight="1" x14ac:dyDescent="0.25">
      <c r="A31" s="19" t="s">
        <v>9</v>
      </c>
      <c r="B31" s="20"/>
      <c r="C31" s="20">
        <f t="shared" ref="C31:F31" si="18">C30/B30-1</f>
        <v>-0.65259721531712966</v>
      </c>
      <c r="D31" s="20">
        <f t="shared" si="18"/>
        <v>1.2271291504745969</v>
      </c>
      <c r="E31" s="20">
        <f t="shared" si="18"/>
        <v>0.11390960293525154</v>
      </c>
      <c r="F31" s="20">
        <f t="shared" si="18"/>
        <v>0.6505160701224344</v>
      </c>
      <c r="G31" s="3"/>
      <c r="H31" s="3"/>
      <c r="I31" s="21" t="s">
        <v>56</v>
      </c>
      <c r="J31" s="23">
        <v>138.19999999999999</v>
      </c>
      <c r="K31" s="23">
        <v>125.5</v>
      </c>
      <c r="L31" s="23">
        <v>147.19999999999999</v>
      </c>
      <c r="M31" s="23">
        <v>160.69999999999999</v>
      </c>
      <c r="N31" s="24">
        <v>187.5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" customHeight="1" x14ac:dyDescent="0.25">
      <c r="A32" s="19" t="s">
        <v>57</v>
      </c>
      <c r="B32" s="20"/>
      <c r="C32" s="20"/>
      <c r="D32" s="20"/>
      <c r="E32" s="20">
        <f>+(E30/B30)^(1/3)-1</f>
        <v>-4.8352271719871553E-2</v>
      </c>
      <c r="F32" s="20">
        <f>+(F30/C30)^(1/3)-1</f>
        <v>0.59982213922052652</v>
      </c>
      <c r="G32" s="3"/>
      <c r="H32" s="3"/>
      <c r="I32" s="21" t="s">
        <v>58</v>
      </c>
      <c r="J32" s="23">
        <v>2.742</v>
      </c>
      <c r="K32" s="23">
        <v>2.7</v>
      </c>
      <c r="L32" s="23">
        <v>8.4</v>
      </c>
      <c r="M32" s="23">
        <v>8.6999999999999993</v>
      </c>
      <c r="N32" s="24">
        <v>9.8000000000000007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" customHeight="1" x14ac:dyDescent="0.25">
      <c r="A33" s="19"/>
      <c r="B33" s="20"/>
      <c r="C33" s="20"/>
      <c r="D33" s="20"/>
      <c r="E33" s="20"/>
      <c r="F33" s="20"/>
      <c r="G33" s="3"/>
      <c r="H33" s="3"/>
      <c r="I33" s="21" t="s">
        <v>59</v>
      </c>
      <c r="J33" s="23">
        <v>582.29999999999995</v>
      </c>
      <c r="K33" s="23">
        <v>469.1</v>
      </c>
      <c r="L33" s="23">
        <v>375.6</v>
      </c>
      <c r="M33" s="23">
        <v>494.5</v>
      </c>
      <c r="N33" s="24">
        <v>816.7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" customHeight="1" x14ac:dyDescent="0.25">
      <c r="A34" s="39" t="s">
        <v>60</v>
      </c>
      <c r="B34" s="40">
        <v>128.69999999999999</v>
      </c>
      <c r="C34" s="40">
        <v>57.56</v>
      </c>
      <c r="D34" s="40">
        <v>86.19</v>
      </c>
      <c r="E34" s="40">
        <v>65.400000000000006</v>
      </c>
      <c r="F34" s="40">
        <v>193.68</v>
      </c>
      <c r="G34" s="3"/>
      <c r="H34" s="3"/>
      <c r="I34" s="21" t="s">
        <v>61</v>
      </c>
      <c r="J34" s="23">
        <v>210.8</v>
      </c>
      <c r="K34" s="23">
        <v>89.4</v>
      </c>
      <c r="L34" s="3"/>
      <c r="M34" s="23"/>
      <c r="N34" s="24">
        <v>129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" customHeight="1" x14ac:dyDescent="0.25">
      <c r="A35" s="19" t="s">
        <v>9</v>
      </c>
      <c r="B35" s="20"/>
      <c r="C35" s="20">
        <f t="shared" ref="C35:F35" si="19">C34/B34-1</f>
        <v>-0.55275835275835272</v>
      </c>
      <c r="D35" s="20">
        <f t="shared" si="19"/>
        <v>0.49739402362751894</v>
      </c>
      <c r="E35" s="20">
        <f t="shared" si="19"/>
        <v>-0.24121127741037229</v>
      </c>
      <c r="F35" s="20">
        <f t="shared" si="19"/>
        <v>1.9614678899082567</v>
      </c>
      <c r="G35" s="3"/>
      <c r="H35" s="3"/>
      <c r="I35" s="21" t="s">
        <v>62</v>
      </c>
      <c r="J35" s="41"/>
      <c r="K35" s="23">
        <v>3.2</v>
      </c>
      <c r="L35" s="23">
        <v>65.2</v>
      </c>
      <c r="M35" s="23">
        <v>73.7</v>
      </c>
      <c r="N35" s="24">
        <v>87.2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" customHeight="1" x14ac:dyDescent="0.25">
      <c r="A36" s="19" t="s">
        <v>11</v>
      </c>
      <c r="B36" s="20"/>
      <c r="C36" s="20"/>
      <c r="D36" s="20"/>
      <c r="E36" s="20">
        <f>+(E34/B34)^(1/3)-1</f>
        <v>-0.20200580184906558</v>
      </c>
      <c r="F36" s="20">
        <f>+(F34/C34)^(1/3)-1</f>
        <v>0.49849281085704855</v>
      </c>
      <c r="G36" s="3"/>
      <c r="H36" s="3"/>
      <c r="I36" s="21" t="s">
        <v>63</v>
      </c>
      <c r="J36" s="23">
        <v>68.3</v>
      </c>
      <c r="K36" s="23">
        <v>70.7</v>
      </c>
      <c r="L36" s="23">
        <v>91.4</v>
      </c>
      <c r="M36" s="23">
        <v>15</v>
      </c>
      <c r="N36" s="24">
        <v>5.9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" customHeight="1" x14ac:dyDescent="0.25">
      <c r="A37" s="3"/>
      <c r="B37" s="3"/>
      <c r="C37" s="3"/>
      <c r="D37" s="3"/>
      <c r="E37" s="3"/>
      <c r="F37" s="3"/>
      <c r="G37" s="3"/>
      <c r="H37" s="3"/>
      <c r="I37" s="21" t="s">
        <v>64</v>
      </c>
      <c r="J37" s="23">
        <v>45.8</v>
      </c>
      <c r="K37" s="23">
        <v>83</v>
      </c>
      <c r="L37" s="23">
        <v>38.1</v>
      </c>
      <c r="M37" s="23">
        <v>78.3</v>
      </c>
      <c r="N37" s="24">
        <v>57.9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" customHeight="1" x14ac:dyDescent="0.25">
      <c r="A38" s="42" t="s">
        <v>65</v>
      </c>
      <c r="B38" s="42"/>
      <c r="C38" s="42"/>
      <c r="D38" s="42"/>
      <c r="E38" s="42"/>
      <c r="F38" s="42"/>
      <c r="G38" s="3"/>
      <c r="H38" s="3"/>
      <c r="I38" s="21" t="s">
        <v>66</v>
      </c>
      <c r="J38" s="23">
        <v>462.8</v>
      </c>
      <c r="K38" s="23">
        <v>515</v>
      </c>
      <c r="L38" s="23">
        <v>488.4</v>
      </c>
      <c r="M38" s="23">
        <v>450.5</v>
      </c>
      <c r="N38" s="24">
        <v>30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" customHeight="1" x14ac:dyDescent="0.25">
      <c r="A39" s="11" t="s">
        <v>2</v>
      </c>
      <c r="B39" s="43" t="s">
        <v>3</v>
      </c>
      <c r="C39" s="43" t="s">
        <v>4</v>
      </c>
      <c r="D39" s="43" t="s">
        <v>5</v>
      </c>
      <c r="E39" s="43" t="s">
        <v>6</v>
      </c>
      <c r="F39" s="43" t="s">
        <v>116</v>
      </c>
      <c r="G39" s="3"/>
      <c r="H39" s="3"/>
      <c r="I39" s="14" t="s">
        <v>67</v>
      </c>
      <c r="J39" s="17">
        <f t="shared" ref="J39:M39" si="20">SUM(J40:J47)</f>
        <v>7228.4000000000005</v>
      </c>
      <c r="K39" s="17">
        <f t="shared" si="20"/>
        <v>8234.9000000000015</v>
      </c>
      <c r="L39" s="17">
        <f t="shared" si="20"/>
        <v>9662.9000000000015</v>
      </c>
      <c r="M39" s="17">
        <f t="shared" si="20"/>
        <v>12495.2</v>
      </c>
      <c r="N39" s="18">
        <f>(SUM(N40:N47))</f>
        <v>15735.339999999998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 x14ac:dyDescent="0.25">
      <c r="A40" s="39" t="s">
        <v>68</v>
      </c>
      <c r="B40" s="25">
        <v>307.78199999999998</v>
      </c>
      <c r="C40" s="25">
        <v>840.46</v>
      </c>
      <c r="D40" s="25">
        <v>380.9</v>
      </c>
      <c r="E40" s="25">
        <v>911.6</v>
      </c>
      <c r="F40" s="21">
        <v>1212.7</v>
      </c>
      <c r="G40" s="3"/>
      <c r="H40" s="3"/>
      <c r="I40" s="21" t="s">
        <v>69</v>
      </c>
      <c r="J40" s="22">
        <v>1961.6</v>
      </c>
      <c r="K40" s="22">
        <v>2586.1</v>
      </c>
      <c r="L40" s="22">
        <v>2533.1</v>
      </c>
      <c r="M40" s="22">
        <v>2955</v>
      </c>
      <c r="N40" s="24">
        <v>3419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 x14ac:dyDescent="0.25">
      <c r="A41" s="21" t="s">
        <v>70</v>
      </c>
      <c r="B41" s="25">
        <v>1411.337</v>
      </c>
      <c r="C41" s="25">
        <v>546.89300000000003</v>
      </c>
      <c r="D41" s="25">
        <v>2297.3040000000001</v>
      </c>
      <c r="E41" s="25">
        <v>1145.5999999999999</v>
      </c>
      <c r="F41" s="21">
        <v>1872.4</v>
      </c>
      <c r="G41" s="3"/>
      <c r="H41" s="3"/>
      <c r="I41" s="21" t="s">
        <v>71</v>
      </c>
      <c r="J41" s="23">
        <v>671.7</v>
      </c>
      <c r="K41" s="23">
        <v>1109.3</v>
      </c>
      <c r="L41" s="23">
        <v>1764</v>
      </c>
      <c r="M41" s="23">
        <v>2492</v>
      </c>
      <c r="N41" s="24">
        <v>3768.2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 x14ac:dyDescent="0.25">
      <c r="A42" s="21" t="s">
        <v>72</v>
      </c>
      <c r="B42" s="25">
        <v>-244.04400000000001</v>
      </c>
      <c r="C42" s="25">
        <v>-2865.6970000000001</v>
      </c>
      <c r="D42" s="25">
        <v>-356.57499999999999</v>
      </c>
      <c r="E42" s="25">
        <v>-511.2</v>
      </c>
      <c r="F42" s="21">
        <v>-945.7</v>
      </c>
      <c r="G42" s="3"/>
      <c r="H42" s="3"/>
      <c r="I42" s="21" t="s">
        <v>73</v>
      </c>
      <c r="J42" s="23">
        <v>2926.3</v>
      </c>
      <c r="K42" s="23">
        <v>3205.4</v>
      </c>
      <c r="L42" s="23">
        <v>3258.5</v>
      </c>
      <c r="M42" s="23">
        <v>4267.8</v>
      </c>
      <c r="N42" s="24">
        <v>5186.3999999999996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" customHeight="1" x14ac:dyDescent="0.25">
      <c r="A43" s="21" t="s">
        <v>74</v>
      </c>
      <c r="B43" s="25">
        <v>-534.58399999999995</v>
      </c>
      <c r="C43" s="25">
        <v>1992.521</v>
      </c>
      <c r="D43" s="25">
        <v>-1427.184</v>
      </c>
      <c r="E43" s="25">
        <v>-353.9</v>
      </c>
      <c r="F43" s="21">
        <v>-1019.9</v>
      </c>
      <c r="G43" s="7"/>
      <c r="H43" s="7"/>
      <c r="I43" s="21" t="s">
        <v>75</v>
      </c>
      <c r="J43" s="23">
        <v>928.1</v>
      </c>
      <c r="K43" s="23">
        <v>575.29999999999995</v>
      </c>
      <c r="L43" s="23">
        <v>1523.7</v>
      </c>
      <c r="M43" s="23">
        <v>2130.6999999999998</v>
      </c>
      <c r="N43" s="24">
        <v>2588.9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" customHeight="1" x14ac:dyDescent="0.25">
      <c r="A44" s="21" t="s">
        <v>117</v>
      </c>
      <c r="B44" s="25">
        <f>-100.031</f>
        <v>-100.03100000000001</v>
      </c>
      <c r="C44" s="25">
        <v>-133.249</v>
      </c>
      <c r="D44" s="25">
        <v>-50.533999999999999</v>
      </c>
      <c r="E44" s="25">
        <v>20.6</v>
      </c>
      <c r="F44" s="21">
        <v>-148.30000000000001</v>
      </c>
      <c r="G44" s="7"/>
      <c r="H44" s="7"/>
      <c r="I44" s="21" t="s">
        <v>76</v>
      </c>
      <c r="J44" s="23">
        <v>9</v>
      </c>
      <c r="K44" s="23">
        <v>5.6</v>
      </c>
      <c r="L44" s="23"/>
      <c r="M44" s="23">
        <v>0.6</v>
      </c>
      <c r="N44" s="24">
        <v>0.54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" customHeight="1" x14ac:dyDescent="0.25">
      <c r="A45" s="21"/>
      <c r="B45" s="25"/>
      <c r="C45" s="25"/>
      <c r="D45" s="25"/>
      <c r="E45" s="25"/>
      <c r="F45" s="39"/>
      <c r="G45" s="7"/>
      <c r="H45" s="7"/>
      <c r="I45" s="21" t="s">
        <v>77</v>
      </c>
      <c r="J45" s="23">
        <v>31.2</v>
      </c>
      <c r="K45" s="23">
        <v>21.6</v>
      </c>
      <c r="L45" s="23">
        <v>48.6</v>
      </c>
      <c r="M45" s="23">
        <v>78.099999999999994</v>
      </c>
      <c r="N45" s="24">
        <v>104.4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" customHeight="1" x14ac:dyDescent="0.25">
      <c r="A46" s="39" t="s">
        <v>78</v>
      </c>
      <c r="B46" s="15">
        <f t="shared" ref="B46:F46" si="21">+B41+B42+B43+B44</f>
        <v>532.67799999999988</v>
      </c>
      <c r="C46" s="15">
        <f t="shared" si="21"/>
        <v>-459.53200000000015</v>
      </c>
      <c r="D46" s="15">
        <f t="shared" si="21"/>
        <v>463.01100000000008</v>
      </c>
      <c r="E46" s="15">
        <f t="shared" si="21"/>
        <v>301.09999999999991</v>
      </c>
      <c r="F46" s="15">
        <f t="shared" si="21"/>
        <v>-241.49999999999994</v>
      </c>
      <c r="G46" s="7"/>
      <c r="H46" s="7"/>
      <c r="I46" s="21" t="s">
        <v>79</v>
      </c>
      <c r="J46" s="23">
        <v>27.5</v>
      </c>
      <c r="K46" s="23">
        <v>40.6</v>
      </c>
      <c r="L46" s="23">
        <v>12.8</v>
      </c>
      <c r="M46" s="23">
        <v>45.4</v>
      </c>
      <c r="N46" s="24">
        <v>92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" customHeight="1" x14ac:dyDescent="0.25">
      <c r="A47" s="39" t="s">
        <v>80</v>
      </c>
      <c r="B47" s="15">
        <f t="shared" ref="B47:F47" si="22">B40+B46</f>
        <v>840.45999999999981</v>
      </c>
      <c r="C47" s="15">
        <f t="shared" si="22"/>
        <v>380.92799999999988</v>
      </c>
      <c r="D47" s="15">
        <f t="shared" si="22"/>
        <v>843.91100000000006</v>
      </c>
      <c r="E47" s="15">
        <f t="shared" si="22"/>
        <v>1212.6999999999998</v>
      </c>
      <c r="F47" s="14">
        <f t="shared" si="22"/>
        <v>971.2</v>
      </c>
      <c r="G47" s="3"/>
      <c r="H47" s="3"/>
      <c r="I47" s="21" t="s">
        <v>81</v>
      </c>
      <c r="J47" s="22">
        <v>673</v>
      </c>
      <c r="K47" s="22">
        <v>691</v>
      </c>
      <c r="L47" s="22">
        <v>522.20000000000005</v>
      </c>
      <c r="M47" s="22">
        <v>525.6</v>
      </c>
      <c r="N47" s="24">
        <v>575.9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" customHeight="1" x14ac:dyDescent="0.25">
      <c r="A48" s="3"/>
      <c r="B48" s="3"/>
      <c r="C48" s="3"/>
      <c r="D48" s="3"/>
      <c r="E48" s="3" t="s">
        <v>82</v>
      </c>
      <c r="F48" s="7"/>
      <c r="G48" s="3"/>
      <c r="H48" s="3"/>
      <c r="I48" s="14" t="s">
        <v>83</v>
      </c>
      <c r="J48" s="17">
        <f t="shared" ref="J48:M48" si="23">J39+J26</f>
        <v>10503.742000000002</v>
      </c>
      <c r="K48" s="17">
        <f t="shared" si="23"/>
        <v>14096.900000000001</v>
      </c>
      <c r="L48" s="17">
        <f t="shared" si="23"/>
        <v>15167.900000000001</v>
      </c>
      <c r="M48" s="17">
        <f t="shared" si="23"/>
        <v>18073.800000000003</v>
      </c>
      <c r="N48" s="18">
        <f>(N39+N26)</f>
        <v>21819.539999999997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" customHeight="1" x14ac:dyDescent="0.25">
      <c r="A49" s="11" t="s">
        <v>84</v>
      </c>
      <c r="B49" s="43" t="s">
        <v>3</v>
      </c>
      <c r="C49" s="43" t="s">
        <v>4</v>
      </c>
      <c r="D49" s="43" t="s">
        <v>5</v>
      </c>
      <c r="E49" s="43" t="s">
        <v>6</v>
      </c>
      <c r="F49" s="43" t="s">
        <v>116</v>
      </c>
      <c r="G49" s="3"/>
      <c r="H49" s="3"/>
      <c r="I49" s="21"/>
      <c r="J49" s="23"/>
      <c r="K49" s="23"/>
      <c r="L49" s="23"/>
      <c r="M49" s="23"/>
      <c r="N49" s="2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" customHeight="1" x14ac:dyDescent="0.25">
      <c r="A50" s="14" t="s">
        <v>85</v>
      </c>
      <c r="B50" s="15">
        <f t="shared" ref="B50:F50" si="24">B41</f>
        <v>1411.337</v>
      </c>
      <c r="C50" s="15">
        <f t="shared" si="24"/>
        <v>546.89300000000003</v>
      </c>
      <c r="D50" s="15">
        <f t="shared" si="24"/>
        <v>2297.3040000000001</v>
      </c>
      <c r="E50" s="15">
        <f t="shared" si="24"/>
        <v>1145.5999999999999</v>
      </c>
      <c r="F50" s="15">
        <f t="shared" si="24"/>
        <v>1872.4</v>
      </c>
      <c r="G50" s="3"/>
      <c r="H50" s="3"/>
      <c r="I50" s="14" t="s">
        <v>86</v>
      </c>
      <c r="J50" s="17">
        <f t="shared" ref="J50:K50" si="25">J9+J16</f>
        <v>1217.5</v>
      </c>
      <c r="K50" s="17">
        <f t="shared" si="25"/>
        <v>3581.8</v>
      </c>
      <c r="L50" s="17">
        <f>L9+L17</f>
        <v>1582.1000000000001</v>
      </c>
      <c r="M50" s="17">
        <f t="shared" ref="M50:N50" si="26">M9+M16</f>
        <v>2790.8</v>
      </c>
      <c r="N50" s="17">
        <f t="shared" si="26"/>
        <v>2262.3000000000002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" customHeight="1" x14ac:dyDescent="0.25">
      <c r="A51" s="63" t="s">
        <v>118</v>
      </c>
      <c r="B51" s="64">
        <f>-178.495</f>
        <v>-178.495</v>
      </c>
      <c r="C51" s="64">
        <v>1198.8050000000001</v>
      </c>
      <c r="D51" s="64">
        <v>-234.32400000000001</v>
      </c>
      <c r="E51" s="64">
        <v>-252.5</v>
      </c>
      <c r="F51" s="64">
        <v>-323.10000000000002</v>
      </c>
      <c r="G51" s="3"/>
      <c r="H51" s="3"/>
      <c r="I51" s="14" t="s">
        <v>87</v>
      </c>
      <c r="J51" s="44">
        <f>(J4+J9+J12+J13+J10)</f>
        <v>4855.2700000000004</v>
      </c>
      <c r="K51" s="44">
        <f t="shared" ref="K51:N51" si="27">(K4+K9+K12+K13+K10)</f>
        <v>7131.0999999999995</v>
      </c>
      <c r="L51" s="44">
        <f t="shared" si="27"/>
        <v>8065.7000000000007</v>
      </c>
      <c r="M51" s="44">
        <f t="shared" si="27"/>
        <v>8808.9999999999982</v>
      </c>
      <c r="N51" s="44">
        <f t="shared" si="27"/>
        <v>10578.870999999999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" customHeight="1" x14ac:dyDescent="0.25">
      <c r="A52" s="65" t="s">
        <v>88</v>
      </c>
      <c r="B52" s="66">
        <f>SUM(B50:B51)</f>
        <v>1232.8420000000001</v>
      </c>
      <c r="C52" s="66">
        <f>SUM(C50:C51)</f>
        <v>1745.6980000000001</v>
      </c>
      <c r="D52" s="66">
        <f>SUM(D50:D51)</f>
        <v>2062.98</v>
      </c>
      <c r="E52" s="66">
        <f>SUM(E50:E51)</f>
        <v>893.09999999999991</v>
      </c>
      <c r="F52" s="66">
        <f>SUM(F50:F51)</f>
        <v>1549.3000000000002</v>
      </c>
      <c r="G52" s="3"/>
      <c r="H52" s="3"/>
      <c r="I52" s="14" t="s">
        <v>87</v>
      </c>
      <c r="J52" s="45">
        <f>J48-J14</f>
        <v>4855.3420000000015</v>
      </c>
      <c r="K52" s="45">
        <f>K48-K14</f>
        <v>7362.8000000000011</v>
      </c>
      <c r="L52" s="45">
        <f>L48-L14</f>
        <v>8065.9000000000005</v>
      </c>
      <c r="M52" s="45">
        <f>M48-M14</f>
        <v>8809.0000000000036</v>
      </c>
      <c r="N52" s="45">
        <f>N48-N14</f>
        <v>10589.439999999995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" customHeight="1" x14ac:dyDescent="0.25">
      <c r="G53" s="3"/>
      <c r="H53" s="3"/>
      <c r="I53" s="46"/>
      <c r="J53" s="47"/>
      <c r="K53" s="47"/>
      <c r="L53" s="47"/>
      <c r="M53" s="47"/>
      <c r="N53" s="47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" customHeight="1" x14ac:dyDescent="0.25">
      <c r="A54" s="3"/>
      <c r="B54" s="3"/>
      <c r="C54" s="3"/>
      <c r="D54" s="3"/>
      <c r="E54" s="3"/>
      <c r="F54" s="7"/>
      <c r="G54" s="3"/>
      <c r="H54" s="3"/>
      <c r="I54" s="39" t="s">
        <v>89</v>
      </c>
      <c r="J54" s="29"/>
      <c r="K54" s="29"/>
      <c r="L54" s="29"/>
      <c r="M54" s="29"/>
      <c r="N54" s="29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" customHeight="1" x14ac:dyDescent="0.25">
      <c r="A55" s="11" t="s">
        <v>84</v>
      </c>
      <c r="B55" s="43" t="s">
        <v>3</v>
      </c>
      <c r="C55" s="43" t="s">
        <v>4</v>
      </c>
      <c r="D55" s="43" t="s">
        <v>5</v>
      </c>
      <c r="E55" s="43" t="s">
        <v>6</v>
      </c>
      <c r="F55" s="43" t="s">
        <v>116</v>
      </c>
      <c r="G55" s="3"/>
      <c r="H55" s="3"/>
      <c r="I55" s="11" t="s">
        <v>90</v>
      </c>
      <c r="J55" s="13" t="s">
        <v>3</v>
      </c>
      <c r="K55" s="48" t="s">
        <v>4</v>
      </c>
      <c r="L55" s="48" t="s">
        <v>5</v>
      </c>
      <c r="M55" s="13" t="s">
        <v>6</v>
      </c>
      <c r="N55" s="13" t="s">
        <v>116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" customHeight="1" x14ac:dyDescent="0.25">
      <c r="A56" s="39" t="s">
        <v>91</v>
      </c>
      <c r="B56" s="49">
        <v>9767080</v>
      </c>
      <c r="C56" s="49">
        <v>9767080</v>
      </c>
      <c r="D56" s="49">
        <v>9767080</v>
      </c>
      <c r="E56" s="49">
        <v>9767080</v>
      </c>
      <c r="F56" s="49">
        <v>9767080</v>
      </c>
      <c r="G56" s="3"/>
      <c r="H56" s="3"/>
      <c r="I56" s="50" t="s">
        <v>92</v>
      </c>
      <c r="J56" s="15">
        <v>832.3</v>
      </c>
      <c r="K56" s="30">
        <v>280.85000000000002</v>
      </c>
      <c r="L56" s="30">
        <v>593.20000000000005</v>
      </c>
      <c r="M56" s="30">
        <v>835.2</v>
      </c>
      <c r="N56" s="38">
        <v>2400.3000000000002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" customHeight="1" x14ac:dyDescent="0.25">
      <c r="A57" s="39" t="s">
        <v>93</v>
      </c>
      <c r="B57" s="29">
        <f t="shared" ref="B57:F57" si="28">B56*J56/1000000</f>
        <v>8129.140684</v>
      </c>
      <c r="C57" s="29">
        <f t="shared" si="28"/>
        <v>2743.0844179999999</v>
      </c>
      <c r="D57" s="29">
        <f t="shared" si="28"/>
        <v>5793.8318559999998</v>
      </c>
      <c r="E57" s="29">
        <f t="shared" si="28"/>
        <v>8157.4652159999996</v>
      </c>
      <c r="F57" s="29">
        <f t="shared" si="28"/>
        <v>23443.922124000001</v>
      </c>
      <c r="G57" s="3"/>
      <c r="H57" s="3"/>
      <c r="I57" s="50" t="s">
        <v>94</v>
      </c>
      <c r="J57" s="30">
        <f t="shared" ref="J57:N57" si="29">B34</f>
        <v>128.69999999999999</v>
      </c>
      <c r="K57" s="30">
        <f t="shared" si="29"/>
        <v>57.56</v>
      </c>
      <c r="L57" s="30">
        <f t="shared" si="29"/>
        <v>86.19</v>
      </c>
      <c r="M57" s="30">
        <f t="shared" si="29"/>
        <v>65.400000000000006</v>
      </c>
      <c r="N57" s="30">
        <f t="shared" si="29"/>
        <v>193.68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" customHeight="1" x14ac:dyDescent="0.25">
      <c r="A58" s="14" t="s">
        <v>95</v>
      </c>
      <c r="B58" s="15">
        <f t="shared" ref="B58:F58" si="30">J50</f>
        <v>1217.5</v>
      </c>
      <c r="C58" s="15">
        <f t="shared" si="30"/>
        <v>3581.8</v>
      </c>
      <c r="D58" s="15">
        <f t="shared" si="30"/>
        <v>1582.1000000000001</v>
      </c>
      <c r="E58" s="15">
        <f t="shared" si="30"/>
        <v>2790.8</v>
      </c>
      <c r="F58" s="15">
        <f t="shared" si="30"/>
        <v>2262.3000000000002</v>
      </c>
      <c r="G58" s="3"/>
      <c r="H58" s="3"/>
      <c r="I58" s="50" t="s">
        <v>96</v>
      </c>
      <c r="J58" s="30">
        <f t="shared" ref="J58:N58" si="31">(J4*1000000)/B56</f>
        <v>448.52402150898735</v>
      </c>
      <c r="K58" s="30">
        <f t="shared" si="31"/>
        <v>492.76754157844516</v>
      </c>
      <c r="L58" s="30">
        <f t="shared" si="31"/>
        <v>603.95737518275689</v>
      </c>
      <c r="M58" s="30">
        <f t="shared" si="31"/>
        <v>722.45747961519703</v>
      </c>
      <c r="N58" s="30">
        <f t="shared" si="31"/>
        <v>934.62641854064884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" customHeight="1" x14ac:dyDescent="0.25">
      <c r="A59" s="14" t="s">
        <v>97</v>
      </c>
      <c r="B59" s="15">
        <f t="shared" ref="B59:F59" si="32">J43</f>
        <v>928.1</v>
      </c>
      <c r="C59" s="15">
        <f t="shared" si="32"/>
        <v>575.29999999999995</v>
      </c>
      <c r="D59" s="15">
        <f t="shared" si="32"/>
        <v>1523.7</v>
      </c>
      <c r="E59" s="15">
        <f t="shared" si="32"/>
        <v>2130.6999999999998</v>
      </c>
      <c r="F59" s="15">
        <f t="shared" si="32"/>
        <v>2588.9</v>
      </c>
      <c r="G59" s="3"/>
      <c r="H59" s="3"/>
      <c r="I59" s="50" t="s">
        <v>98</v>
      </c>
      <c r="J59" s="33">
        <v>7.5</v>
      </c>
      <c r="K59" s="33">
        <v>7.5</v>
      </c>
      <c r="L59" s="33">
        <v>10</v>
      </c>
      <c r="M59" s="33">
        <v>10</v>
      </c>
      <c r="N59" s="33">
        <v>20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" customHeight="1" x14ac:dyDescent="0.25">
      <c r="A60" s="14" t="s">
        <v>99</v>
      </c>
      <c r="B60" s="15">
        <f t="shared" ref="B60:F60" si="33">B57+B58-B59</f>
        <v>8418.5406839999996</v>
      </c>
      <c r="C60" s="15">
        <f t="shared" si="33"/>
        <v>5749.5844179999995</v>
      </c>
      <c r="D60" s="15">
        <f t="shared" si="33"/>
        <v>5852.2318560000003</v>
      </c>
      <c r="E60" s="15">
        <f t="shared" si="33"/>
        <v>8817.5652159999991</v>
      </c>
      <c r="F60" s="15">
        <f t="shared" si="33"/>
        <v>23117.322123999998</v>
      </c>
      <c r="G60" s="3"/>
      <c r="H60" s="3"/>
      <c r="I60" s="50" t="s">
        <v>100</v>
      </c>
      <c r="J60" s="51">
        <f t="shared" ref="J60:M60" si="34">(J56/J57)</f>
        <v>6.4669774669774673</v>
      </c>
      <c r="K60" s="51">
        <f t="shared" si="34"/>
        <v>4.8792564280750526</v>
      </c>
      <c r="L60" s="51">
        <f t="shared" si="34"/>
        <v>6.8824689639169288</v>
      </c>
      <c r="M60" s="51">
        <f t="shared" si="34"/>
        <v>12.770642201834862</v>
      </c>
      <c r="N60" s="51">
        <f t="shared" ref="N60" si="35">(N56/N57)</f>
        <v>12.393122676579926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" customHeight="1" x14ac:dyDescent="0.25">
      <c r="A61" s="3"/>
      <c r="B61" s="3"/>
      <c r="C61" s="3"/>
      <c r="D61" s="3"/>
      <c r="E61" s="3"/>
      <c r="F61" s="3"/>
      <c r="G61" s="3"/>
      <c r="H61" s="3"/>
      <c r="I61" s="50" t="s">
        <v>101</v>
      </c>
      <c r="J61" s="51">
        <f t="shared" ref="J61:M61" si="36">(J56/J58)</f>
        <v>1.8556419725299431</v>
      </c>
      <c r="K61" s="51">
        <f t="shared" si="36"/>
        <v>0.56994419539155194</v>
      </c>
      <c r="L61" s="51">
        <f t="shared" si="36"/>
        <v>0.98218851921544681</v>
      </c>
      <c r="M61" s="51">
        <f t="shared" si="36"/>
        <v>1.1560541949747039</v>
      </c>
      <c r="N61" s="51">
        <f t="shared" ref="N61" si="37">(N56/N58)</f>
        <v>2.5681919025442208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" customHeight="1" x14ac:dyDescent="0.25">
      <c r="A62" s="3"/>
      <c r="B62" s="3"/>
      <c r="C62" s="3"/>
      <c r="D62" s="3"/>
      <c r="E62" s="3"/>
      <c r="F62" s="3"/>
      <c r="G62" s="3"/>
      <c r="H62" s="3"/>
      <c r="I62" s="50" t="s">
        <v>102</v>
      </c>
      <c r="J62" s="51">
        <f t="shared" ref="J62:N62" si="38">B60/B12</f>
        <v>3.5974824726937067</v>
      </c>
      <c r="K62" s="51">
        <f t="shared" si="38"/>
        <v>4.7844825253907981</v>
      </c>
      <c r="L62" s="51">
        <f t="shared" si="38"/>
        <v>3.737463106467497</v>
      </c>
      <c r="M62" s="51">
        <f t="shared" si="38"/>
        <v>4.1940573564910482</v>
      </c>
      <c r="N62" s="51">
        <f t="shared" si="38"/>
        <v>7.1228846476659911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" customHeight="1" x14ac:dyDescent="0.25">
      <c r="A63" s="3"/>
      <c r="B63" s="3"/>
      <c r="C63" s="3"/>
      <c r="D63" s="3"/>
      <c r="E63" s="3"/>
      <c r="F63" s="3"/>
      <c r="G63" s="3"/>
      <c r="H63" s="3"/>
      <c r="I63" s="52" t="s">
        <v>103</v>
      </c>
      <c r="J63" s="53">
        <f t="shared" ref="J63:N63" si="39">B25/J4</f>
        <v>0.35912682017088327</v>
      </c>
      <c r="K63" s="53">
        <f t="shared" si="39"/>
        <v>0.11544432670531268</v>
      </c>
      <c r="L63" s="53">
        <f t="shared" si="39"/>
        <v>0.13265998745528826</v>
      </c>
      <c r="M63" s="53">
        <f t="shared" si="39"/>
        <v>0.16724657398353257</v>
      </c>
      <c r="N63" s="53">
        <f t="shared" si="39"/>
        <v>0.24103444011116348</v>
      </c>
      <c r="O63" s="7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" customHeight="1" x14ac:dyDescent="0.25">
      <c r="A64" s="3"/>
      <c r="B64" s="3"/>
      <c r="C64" s="3"/>
      <c r="D64" s="3"/>
      <c r="E64" s="3"/>
      <c r="F64" s="3"/>
      <c r="G64" s="3"/>
      <c r="H64" s="3"/>
      <c r="I64" s="52" t="s">
        <v>104</v>
      </c>
      <c r="J64" s="51">
        <f t="shared" ref="J64:N64" si="40">(B20+B18)/J14</f>
        <v>0.41647103604560587</v>
      </c>
      <c r="K64" s="53">
        <f t="shared" si="40"/>
        <v>0.14585334343119338</v>
      </c>
      <c r="L64" s="53">
        <f t="shared" si="40"/>
        <v>0.18177302168403264</v>
      </c>
      <c r="M64" s="53">
        <f t="shared" si="40"/>
        <v>0.19597530437786037</v>
      </c>
      <c r="N64" s="53">
        <f t="shared" si="40"/>
        <v>0.28224147603316113</v>
      </c>
      <c r="O64" s="7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" customHeight="1" x14ac:dyDescent="0.25">
      <c r="A65" s="3"/>
      <c r="B65" s="3"/>
      <c r="C65" s="3"/>
      <c r="D65" s="3"/>
      <c r="E65" s="3"/>
      <c r="F65" s="3"/>
      <c r="G65" s="3"/>
      <c r="H65" s="3"/>
      <c r="I65" s="50" t="s">
        <v>105</v>
      </c>
      <c r="J65" s="51">
        <f t="shared" ref="J65:M65" si="41">J50/J4</f>
        <v>0.27791917859189141</v>
      </c>
      <c r="K65" s="51">
        <f t="shared" si="41"/>
        <v>0.74420827359803865</v>
      </c>
      <c r="L65" s="51">
        <f t="shared" si="41"/>
        <v>0.26820254623743411</v>
      </c>
      <c r="M65" s="51">
        <f t="shared" si="41"/>
        <v>0.395504726272976</v>
      </c>
      <c r="N65" s="51">
        <f t="shared" ref="N65" si="42">N50/N4</f>
        <v>0.24782630271484993</v>
      </c>
      <c r="O65" s="7"/>
      <c r="P65" s="54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" customHeight="1" x14ac:dyDescent="0.25">
      <c r="A66" s="3"/>
      <c r="B66" s="3"/>
      <c r="C66" s="3"/>
      <c r="D66" s="3"/>
      <c r="E66" s="3"/>
      <c r="F66" s="3"/>
      <c r="G66" s="3"/>
      <c r="H66" s="3"/>
      <c r="I66" s="50" t="s">
        <v>106</v>
      </c>
      <c r="J66" s="51">
        <f t="shared" ref="J66:M66" si="43">(J50-J43)/J4</f>
        <v>6.606144581888572E-2</v>
      </c>
      <c r="K66" s="51">
        <f t="shared" si="43"/>
        <v>0.62467535165908294</v>
      </c>
      <c r="L66" s="51">
        <f t="shared" si="43"/>
        <v>9.9001508755869883E-3</v>
      </c>
      <c r="M66" s="51">
        <f t="shared" si="43"/>
        <v>9.3547609937219278E-2</v>
      </c>
      <c r="N66" s="51">
        <f t="shared" ref="N66" si="44">(N50-N43)/N4</f>
        <v>-3.5777779457485726E-2</v>
      </c>
      <c r="O66" s="7"/>
      <c r="P66" s="55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" customHeight="1" x14ac:dyDescent="0.25">
      <c r="A67" s="3"/>
      <c r="B67" s="3"/>
      <c r="C67" s="3"/>
      <c r="D67" s="3"/>
      <c r="E67" s="3"/>
      <c r="F67" s="3"/>
      <c r="G67" s="3"/>
      <c r="H67" s="3"/>
      <c r="I67" s="56" t="s">
        <v>107</v>
      </c>
      <c r="J67" s="53">
        <f t="shared" ref="J67:M67" si="45">J59/J57</f>
        <v>5.8275058275058279E-2</v>
      </c>
      <c r="K67" s="53">
        <f t="shared" si="45"/>
        <v>0.13029881862404447</v>
      </c>
      <c r="L67" s="53">
        <f t="shared" si="45"/>
        <v>0.1160227404571296</v>
      </c>
      <c r="M67" s="53">
        <f t="shared" si="45"/>
        <v>0.1529051987767584</v>
      </c>
      <c r="N67" s="53">
        <f t="shared" ref="N67" si="46">N59/N57</f>
        <v>0.10326311441553077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3"/>
      <c r="C68" s="3"/>
      <c r="D68" s="3"/>
      <c r="E68" s="3"/>
      <c r="F68" s="3"/>
      <c r="G68" s="3"/>
      <c r="H68" s="3"/>
      <c r="I68" s="50" t="s">
        <v>108</v>
      </c>
      <c r="J68" s="57" t="s">
        <v>109</v>
      </c>
      <c r="K68" s="58">
        <f t="shared" ref="K68:N68" si="47">(AVERAGE(J42:K42)/C4*365)</f>
        <v>123.12146655822639</v>
      </c>
      <c r="L68" s="58">
        <f t="shared" si="47"/>
        <v>118.57915809988152</v>
      </c>
      <c r="M68" s="58">
        <f t="shared" si="47"/>
        <v>116.2766074161387</v>
      </c>
      <c r="N68" s="58">
        <f t="shared" si="47"/>
        <v>96.671961407224373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3"/>
      <c r="C69" s="3"/>
      <c r="D69" s="3"/>
      <c r="E69" s="3"/>
      <c r="F69" s="16"/>
      <c r="G69" s="3"/>
      <c r="H69" s="3"/>
      <c r="I69" s="50" t="s">
        <v>110</v>
      </c>
      <c r="J69" s="57" t="s">
        <v>109</v>
      </c>
      <c r="K69" s="58">
        <f t="shared" ref="K69:N69" si="48">(AVERAGE(J18:K18)/C7*365)</f>
        <v>101.84579183601899</v>
      </c>
      <c r="L69" s="58">
        <f t="shared" si="48"/>
        <v>103.78091151110958</v>
      </c>
      <c r="M69" s="58">
        <f t="shared" si="48"/>
        <v>120.02801537282309</v>
      </c>
      <c r="N69" s="58">
        <f t="shared" si="48"/>
        <v>107.21737522599025</v>
      </c>
      <c r="O69" s="3"/>
      <c r="P69" s="59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" customHeight="1" x14ac:dyDescent="0.25">
      <c r="A70" s="16"/>
      <c r="B70" s="16"/>
      <c r="C70" s="16"/>
      <c r="D70" s="16"/>
      <c r="E70" s="16"/>
      <c r="F70" s="3"/>
      <c r="G70" s="16"/>
      <c r="H70" s="16"/>
      <c r="I70" s="39" t="s">
        <v>111</v>
      </c>
      <c r="J70" s="57" t="s">
        <v>109</v>
      </c>
      <c r="K70" s="58">
        <f t="shared" ref="K70:N70" si="49">AVERAGE(J40:K40)/SUM(C8:C9)*365</f>
        <v>211.23710938752694</v>
      </c>
      <c r="L70" s="58">
        <f t="shared" si="49"/>
        <v>219.8664262756964</v>
      </c>
      <c r="M70" s="58">
        <f t="shared" si="49"/>
        <v>194.33657435155547</v>
      </c>
      <c r="N70" s="58">
        <f t="shared" si="49"/>
        <v>118.85229989578437</v>
      </c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5" customHeight="1" x14ac:dyDescent="0.25">
      <c r="A71" s="3"/>
      <c r="B71" s="3"/>
      <c r="C71" s="3"/>
      <c r="D71" s="3"/>
      <c r="E71" s="3"/>
      <c r="F71" s="3"/>
      <c r="G71" s="3"/>
      <c r="H71" s="3"/>
      <c r="I71" s="50" t="s">
        <v>112</v>
      </c>
      <c r="J71" s="57" t="s">
        <v>113</v>
      </c>
      <c r="K71" s="58">
        <f t="shared" ref="K71:M71" si="50">K68+K70-K69</f>
        <v>232.51278410973435</v>
      </c>
      <c r="L71" s="58">
        <f t="shared" si="50"/>
        <v>234.66467286446834</v>
      </c>
      <c r="M71" s="58">
        <f t="shared" si="50"/>
        <v>190.5851663948711</v>
      </c>
      <c r="N71" s="58">
        <f t="shared" ref="N71" si="51">N68+N70-N69</f>
        <v>108.3068860770185</v>
      </c>
      <c r="O71" s="3"/>
      <c r="P71" s="28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" customHeight="1" x14ac:dyDescent="0.25">
      <c r="A72" s="3"/>
      <c r="B72" s="3"/>
      <c r="C72" s="3"/>
      <c r="D72" s="3"/>
      <c r="E72" s="3"/>
      <c r="F72" s="3"/>
      <c r="G72" s="3"/>
      <c r="H72" s="3"/>
      <c r="I72" s="39" t="s">
        <v>114</v>
      </c>
      <c r="J72" s="53">
        <f t="shared" ref="J72:N72" si="52">B18/J50</f>
        <v>0.10779383983572896</v>
      </c>
      <c r="K72" s="53">
        <f t="shared" si="52"/>
        <v>5.8607962476966882E-2</v>
      </c>
      <c r="L72" s="53">
        <f t="shared" si="52"/>
        <v>0.14223879653624927</v>
      </c>
      <c r="M72" s="53">
        <f t="shared" si="52"/>
        <v>7.1150924466102911E-2</v>
      </c>
      <c r="N72" s="53">
        <f t="shared" si="52"/>
        <v>0.10895990805817088</v>
      </c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" customHeight="1" x14ac:dyDescent="0.25">
      <c r="A73" s="3"/>
      <c r="B73" s="3"/>
      <c r="C73" s="3"/>
      <c r="D73" s="3"/>
      <c r="E73" s="3"/>
      <c r="F73" s="3"/>
      <c r="G73" s="3"/>
      <c r="H73" s="3"/>
      <c r="I73" s="39" t="s">
        <v>115</v>
      </c>
      <c r="J73" s="60">
        <f t="shared" ref="J73:N73" si="53">(B12-B17)/B18</f>
        <v>16.351290393861586</v>
      </c>
      <c r="K73" s="60">
        <f t="shared" si="53"/>
        <v>3.9494097807757136</v>
      </c>
      <c r="L73" s="60">
        <f t="shared" si="53"/>
        <v>5.3161760784941068</v>
      </c>
      <c r="M73" s="60">
        <f t="shared" si="53"/>
        <v>8.7111619193424943</v>
      </c>
      <c r="N73" s="60">
        <f t="shared" si="53"/>
        <v>11.714807302231252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59"/>
      <c r="K74" s="59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61"/>
      <c r="K75" s="59"/>
      <c r="L75" s="3"/>
      <c r="M75" s="61"/>
      <c r="N75" s="61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59"/>
      <c r="K76" s="62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59"/>
      <c r="K77" s="62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59"/>
      <c r="K78" s="62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59"/>
      <c r="K79" s="62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59"/>
      <c r="K80" s="62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59"/>
      <c r="K81" s="62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59"/>
      <c r="K82" s="62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59"/>
      <c r="K83" s="62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59"/>
      <c r="K84" s="59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59"/>
      <c r="K85" s="59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59"/>
      <c r="K86" s="59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59"/>
      <c r="K87" s="59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59"/>
      <c r="K88" s="59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59"/>
      <c r="K89" s="59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59"/>
      <c r="K90" s="59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59"/>
      <c r="K91" s="59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59"/>
      <c r="K92" s="59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59"/>
      <c r="K93" s="59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59"/>
      <c r="K94" s="59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59"/>
      <c r="K95" s="59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59"/>
      <c r="K96" s="59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59"/>
      <c r="K97" s="59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59"/>
      <c r="K98" s="59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59"/>
      <c r="K99" s="59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59"/>
      <c r="K100" s="59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59"/>
      <c r="K101" s="59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59"/>
      <c r="K102" s="59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59"/>
      <c r="K103" s="59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59"/>
      <c r="K104" s="59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59"/>
      <c r="K105" s="59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59"/>
      <c r="K106" s="59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59"/>
      <c r="K107" s="59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59"/>
      <c r="K108" s="59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59"/>
      <c r="K109" s="59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59"/>
      <c r="K110" s="59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59"/>
      <c r="K111" s="59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59"/>
      <c r="K112" s="59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59"/>
      <c r="K113" s="59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59"/>
      <c r="K114" s="59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59"/>
      <c r="K115" s="59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59"/>
      <c r="K116" s="59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59"/>
      <c r="K117" s="59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59"/>
      <c r="K118" s="59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59"/>
      <c r="K119" s="59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59"/>
      <c r="K120" s="59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59"/>
      <c r="K121" s="59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59"/>
      <c r="K122" s="59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59"/>
      <c r="K123" s="59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59"/>
      <c r="K124" s="59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59"/>
      <c r="K125" s="59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59"/>
      <c r="K126" s="59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59"/>
      <c r="K127" s="59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59"/>
      <c r="K128" s="59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59"/>
      <c r="K129" s="59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59"/>
      <c r="K130" s="59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59"/>
      <c r="K131" s="59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59"/>
      <c r="K132" s="59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59"/>
      <c r="K133" s="59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59"/>
      <c r="K134" s="59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59"/>
      <c r="K135" s="59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59"/>
      <c r="K136" s="59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59"/>
      <c r="K137" s="59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59"/>
      <c r="K138" s="59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59"/>
      <c r="K139" s="59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59"/>
      <c r="K140" s="59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59"/>
      <c r="K141" s="59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59"/>
      <c r="K142" s="59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59"/>
      <c r="K143" s="59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59"/>
      <c r="K144" s="59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59"/>
      <c r="K145" s="59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59"/>
      <c r="K146" s="59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59"/>
      <c r="K147" s="59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59"/>
      <c r="K148" s="59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59"/>
      <c r="K149" s="59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59"/>
      <c r="K150" s="59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59"/>
      <c r="K151" s="59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59"/>
      <c r="K152" s="59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59"/>
      <c r="K153" s="59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59"/>
      <c r="K154" s="59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59"/>
      <c r="K155" s="59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59"/>
      <c r="K156" s="59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59"/>
      <c r="K157" s="59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59"/>
      <c r="K158" s="59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59"/>
      <c r="K159" s="59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59"/>
      <c r="K160" s="59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59"/>
      <c r="K161" s="59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59"/>
      <c r="K162" s="59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59"/>
      <c r="K163" s="59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59"/>
      <c r="K164" s="59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59"/>
      <c r="K165" s="59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59"/>
      <c r="K166" s="59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59"/>
      <c r="K167" s="59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59"/>
      <c r="K168" s="59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59"/>
      <c r="K169" s="59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59"/>
      <c r="K170" s="59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59"/>
      <c r="K171" s="59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59"/>
      <c r="K172" s="59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59"/>
      <c r="K173" s="59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59"/>
      <c r="K174" s="59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59"/>
      <c r="K175" s="59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59"/>
      <c r="K176" s="59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59"/>
      <c r="K177" s="59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59"/>
      <c r="K178" s="59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59"/>
      <c r="K179" s="59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59"/>
      <c r="K180" s="59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59"/>
      <c r="K181" s="59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59"/>
      <c r="K182" s="59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59"/>
      <c r="K183" s="59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59"/>
      <c r="K184" s="59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59"/>
      <c r="K185" s="59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59"/>
      <c r="K186" s="59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59"/>
      <c r="K187" s="59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59"/>
      <c r="K188" s="59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59"/>
      <c r="K189" s="59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59"/>
      <c r="K190" s="59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59"/>
      <c r="K191" s="59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59"/>
      <c r="K192" s="59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59"/>
      <c r="K193" s="59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59"/>
      <c r="K194" s="59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59"/>
      <c r="K195" s="59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59"/>
      <c r="K196" s="59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59"/>
      <c r="K197" s="59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59"/>
      <c r="K198" s="59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59"/>
      <c r="K199" s="59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59"/>
      <c r="K200" s="59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59"/>
      <c r="K201" s="59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59"/>
      <c r="K202" s="59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59"/>
      <c r="K203" s="59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59"/>
      <c r="K204" s="59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59"/>
      <c r="K205" s="59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59"/>
      <c r="K206" s="59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59"/>
      <c r="K207" s="59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59"/>
      <c r="K208" s="59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59"/>
      <c r="K209" s="59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59"/>
      <c r="K210" s="59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59"/>
      <c r="K211" s="59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59"/>
      <c r="K212" s="59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59"/>
      <c r="K213" s="59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59"/>
      <c r="K214" s="59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59"/>
      <c r="K215" s="59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59"/>
      <c r="K216" s="59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59"/>
      <c r="K217" s="59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59"/>
      <c r="K218" s="59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59"/>
      <c r="K219" s="59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59"/>
      <c r="K220" s="59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59"/>
      <c r="K221" s="59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59"/>
      <c r="K222" s="59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59"/>
      <c r="K223" s="59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59"/>
      <c r="K224" s="59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59"/>
      <c r="K225" s="59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59"/>
      <c r="K226" s="59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59"/>
      <c r="K227" s="59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59"/>
      <c r="K228" s="59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59"/>
      <c r="K229" s="59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59"/>
      <c r="K230" s="59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59"/>
      <c r="K231" s="59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59"/>
      <c r="K232" s="59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59"/>
      <c r="K233" s="59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59"/>
      <c r="K234" s="59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59"/>
      <c r="K235" s="59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59"/>
      <c r="K236" s="59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59"/>
      <c r="K237" s="59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59"/>
      <c r="K238" s="59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59"/>
      <c r="K239" s="59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59"/>
      <c r="K240" s="59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59"/>
      <c r="K241" s="59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59"/>
      <c r="K242" s="59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59"/>
      <c r="K243" s="59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59"/>
      <c r="K244" s="59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59"/>
      <c r="K245" s="59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59"/>
      <c r="K246" s="59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59"/>
      <c r="K247" s="59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59"/>
      <c r="K248" s="59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59"/>
      <c r="K249" s="59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59"/>
      <c r="K250" s="59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59"/>
      <c r="K251" s="59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59"/>
      <c r="K252" s="59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59"/>
      <c r="K253" s="59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59"/>
      <c r="K254" s="59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59"/>
      <c r="K255" s="59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59"/>
      <c r="K256" s="59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59"/>
      <c r="K257" s="59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59"/>
      <c r="K258" s="59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59"/>
      <c r="K259" s="59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59"/>
      <c r="K260" s="59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59"/>
      <c r="K261" s="59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59"/>
      <c r="K262" s="59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59"/>
      <c r="K263" s="59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59"/>
      <c r="K264" s="59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59"/>
      <c r="K265" s="59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59"/>
      <c r="K266" s="59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59"/>
      <c r="K267" s="59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59"/>
      <c r="K268" s="59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59"/>
      <c r="K269" s="59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59"/>
      <c r="K270" s="59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59"/>
      <c r="K271" s="59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59"/>
      <c r="K272" s="59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59"/>
      <c r="K273" s="59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59"/>
      <c r="K274" s="59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59"/>
      <c r="K275" s="59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59"/>
      <c r="K276" s="59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59"/>
      <c r="K277" s="59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59"/>
      <c r="K278" s="59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59"/>
      <c r="K279" s="59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59"/>
      <c r="K280" s="59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59"/>
      <c r="K281" s="59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59"/>
      <c r="K282" s="59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59"/>
      <c r="K283" s="59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59"/>
      <c r="K284" s="59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59"/>
      <c r="K285" s="59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59"/>
      <c r="K286" s="59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59"/>
      <c r="K287" s="59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59"/>
      <c r="K288" s="59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59"/>
      <c r="K289" s="59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59"/>
      <c r="K290" s="59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59"/>
      <c r="K291" s="59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59"/>
      <c r="K292" s="59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59"/>
      <c r="K293" s="59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59"/>
      <c r="K294" s="59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59"/>
      <c r="K295" s="59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59"/>
      <c r="K296" s="59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59"/>
      <c r="K297" s="59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59"/>
      <c r="K298" s="59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59"/>
      <c r="K299" s="59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59"/>
      <c r="K300" s="59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59"/>
      <c r="K301" s="59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59"/>
      <c r="K302" s="59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59"/>
      <c r="K303" s="59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59"/>
      <c r="K304" s="59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59"/>
      <c r="K305" s="59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59"/>
      <c r="K306" s="59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59"/>
      <c r="K307" s="59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59"/>
      <c r="K308" s="59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59"/>
      <c r="K309" s="59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59"/>
      <c r="K310" s="59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59"/>
      <c r="K311" s="59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59"/>
      <c r="K312" s="59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59"/>
      <c r="K313" s="59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59"/>
      <c r="K314" s="59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59"/>
      <c r="K315" s="59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59"/>
      <c r="K316" s="59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59"/>
      <c r="K317" s="59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59"/>
      <c r="K318" s="59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59"/>
      <c r="K319" s="59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59"/>
      <c r="K320" s="59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59"/>
      <c r="K321" s="59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59"/>
      <c r="K322" s="59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59"/>
      <c r="K323" s="59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59"/>
      <c r="K324" s="59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59"/>
      <c r="K325" s="59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59"/>
      <c r="K326" s="59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59"/>
      <c r="K327" s="59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59"/>
      <c r="K328" s="59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59"/>
      <c r="K329" s="59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59"/>
      <c r="K330" s="59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59"/>
      <c r="K331" s="59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59"/>
      <c r="K332" s="59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59"/>
      <c r="K333" s="59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59"/>
      <c r="K334" s="59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59"/>
      <c r="K335" s="59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59"/>
      <c r="K336" s="59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59"/>
      <c r="K337" s="59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59"/>
      <c r="K338" s="59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59"/>
      <c r="K339" s="59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59"/>
      <c r="K340" s="59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59"/>
      <c r="K341" s="59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59"/>
      <c r="K342" s="59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59"/>
      <c r="K343" s="59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59"/>
      <c r="K344" s="59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59"/>
      <c r="K345" s="59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59"/>
      <c r="K346" s="59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59"/>
      <c r="K347" s="59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59"/>
      <c r="K348" s="59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59"/>
      <c r="K349" s="59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59"/>
      <c r="K350" s="59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59"/>
      <c r="K351" s="59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59"/>
      <c r="K352" s="59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59"/>
      <c r="K353" s="59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59"/>
      <c r="K354" s="59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59"/>
      <c r="K355" s="59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59"/>
      <c r="K356" s="59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59"/>
      <c r="K357" s="59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59"/>
      <c r="K358" s="59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59"/>
      <c r="K359" s="59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59"/>
      <c r="K360" s="59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59"/>
      <c r="K361" s="59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59"/>
      <c r="K362" s="59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59"/>
      <c r="K363" s="59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59"/>
      <c r="K364" s="59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59"/>
      <c r="K365" s="59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59"/>
      <c r="K366" s="59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59"/>
      <c r="K367" s="59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59"/>
      <c r="K368" s="59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59"/>
      <c r="K369" s="59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59"/>
      <c r="K370" s="59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59"/>
      <c r="K371" s="59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59"/>
      <c r="K372" s="59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59"/>
      <c r="K373" s="59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59"/>
      <c r="K374" s="59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59"/>
      <c r="K375" s="59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59"/>
      <c r="K376" s="59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59"/>
      <c r="K377" s="59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59"/>
      <c r="K378" s="59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59"/>
      <c r="K379" s="59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59"/>
      <c r="K380" s="59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59"/>
      <c r="K381" s="59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59"/>
      <c r="K382" s="59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59"/>
      <c r="K383" s="59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59"/>
      <c r="K384" s="59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59"/>
      <c r="K385" s="59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59"/>
      <c r="K386" s="59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59"/>
      <c r="K387" s="59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59"/>
      <c r="K388" s="59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59"/>
      <c r="K389" s="59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59"/>
      <c r="K390" s="59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59"/>
      <c r="K391" s="59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59"/>
      <c r="K392" s="59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59"/>
      <c r="K393" s="59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59"/>
      <c r="K394" s="59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59"/>
      <c r="K395" s="59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59"/>
      <c r="K396" s="59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59"/>
      <c r="K397" s="59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59"/>
      <c r="K398" s="59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59"/>
      <c r="K399" s="59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59"/>
      <c r="K400" s="59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59"/>
      <c r="K401" s="59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59"/>
      <c r="K402" s="59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59"/>
      <c r="K403" s="59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59"/>
      <c r="K404" s="59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59"/>
      <c r="K405" s="59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59"/>
      <c r="K406" s="59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59"/>
      <c r="K407" s="59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59"/>
      <c r="K408" s="59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59"/>
      <c r="K409" s="59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59"/>
      <c r="K410" s="59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59"/>
      <c r="K411" s="59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59"/>
      <c r="K412" s="59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59"/>
      <c r="K413" s="59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59"/>
      <c r="K414" s="59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59"/>
      <c r="K415" s="59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59"/>
      <c r="K416" s="59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59"/>
      <c r="K417" s="59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59"/>
      <c r="K418" s="59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59"/>
      <c r="K419" s="59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59"/>
      <c r="K420" s="59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59"/>
      <c r="K421" s="59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59"/>
      <c r="K422" s="59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59"/>
      <c r="K423" s="59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59"/>
      <c r="K424" s="59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59"/>
      <c r="K425" s="59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59"/>
      <c r="K426" s="59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59"/>
      <c r="K427" s="59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59"/>
      <c r="K428" s="59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59"/>
      <c r="K429" s="59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59"/>
      <c r="K430" s="59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59"/>
      <c r="K431" s="59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59"/>
      <c r="K432" s="59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59"/>
      <c r="K433" s="59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59"/>
      <c r="K434" s="59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59"/>
      <c r="K435" s="59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59"/>
      <c r="K436" s="59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59"/>
      <c r="K437" s="59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59"/>
      <c r="K438" s="59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59"/>
      <c r="K439" s="59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59"/>
      <c r="K440" s="59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59"/>
      <c r="K441" s="59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59"/>
      <c r="K442" s="59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59"/>
      <c r="K443" s="59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59"/>
      <c r="K444" s="59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59"/>
      <c r="K445" s="59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59"/>
      <c r="K446" s="59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59"/>
      <c r="K447" s="59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59"/>
      <c r="K448" s="59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59"/>
      <c r="K449" s="59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59"/>
      <c r="K450" s="59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59"/>
      <c r="K451" s="59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59"/>
      <c r="K452" s="59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59"/>
      <c r="K453" s="59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59"/>
      <c r="K454" s="59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59"/>
      <c r="K455" s="59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59"/>
      <c r="K456" s="59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59"/>
      <c r="K457" s="59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59"/>
      <c r="K458" s="59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59"/>
      <c r="K459" s="59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59"/>
      <c r="K460" s="59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59"/>
      <c r="K461" s="59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59"/>
      <c r="K462" s="59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59"/>
      <c r="K463" s="59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59"/>
      <c r="K464" s="59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59"/>
      <c r="K465" s="59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59"/>
      <c r="K466" s="59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59"/>
      <c r="K467" s="59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59"/>
      <c r="K468" s="59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59"/>
      <c r="K469" s="59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59"/>
      <c r="K470" s="59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59"/>
      <c r="K471" s="59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59"/>
      <c r="K472" s="59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59"/>
      <c r="K473" s="59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59"/>
      <c r="K474" s="59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59"/>
      <c r="K475" s="59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59"/>
      <c r="K476" s="59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59"/>
      <c r="K477" s="59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59"/>
      <c r="K478" s="59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59"/>
      <c r="K479" s="59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59"/>
      <c r="K480" s="59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59"/>
      <c r="K481" s="59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59"/>
      <c r="K482" s="59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59"/>
      <c r="K483" s="59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59"/>
      <c r="K484" s="59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59"/>
      <c r="K485" s="59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59"/>
      <c r="K486" s="59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59"/>
      <c r="K487" s="59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59"/>
      <c r="K488" s="59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59"/>
      <c r="K489" s="59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59"/>
      <c r="K490" s="59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59"/>
      <c r="K491" s="59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59"/>
      <c r="K492" s="59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59"/>
      <c r="K493" s="59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59"/>
      <c r="K494" s="59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59"/>
      <c r="K495" s="59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59"/>
      <c r="K496" s="59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59"/>
      <c r="K497" s="59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59"/>
      <c r="K498" s="59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59"/>
      <c r="K499" s="59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59"/>
      <c r="K500" s="59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59"/>
      <c r="K501" s="59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59"/>
      <c r="K502" s="59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59"/>
      <c r="K503" s="59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59"/>
      <c r="K504" s="59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59"/>
      <c r="K505" s="59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59"/>
      <c r="K506" s="59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59"/>
      <c r="K507" s="59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59"/>
      <c r="K508" s="59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59"/>
      <c r="K509" s="59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59"/>
      <c r="K510" s="59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59"/>
      <c r="K511" s="59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59"/>
      <c r="K512" s="59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59"/>
      <c r="K513" s="59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59"/>
      <c r="K514" s="59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59"/>
      <c r="K515" s="59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59"/>
      <c r="K516" s="59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59"/>
      <c r="K517" s="59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59"/>
      <c r="K518" s="59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59"/>
      <c r="K519" s="59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59"/>
      <c r="K520" s="59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59"/>
      <c r="K521" s="59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59"/>
      <c r="K522" s="59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59"/>
      <c r="K523" s="59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59"/>
      <c r="K524" s="59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59"/>
      <c r="K525" s="59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59"/>
      <c r="K526" s="59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59"/>
      <c r="K527" s="59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59"/>
      <c r="K528" s="59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59"/>
      <c r="K529" s="59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59"/>
      <c r="K530" s="59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59"/>
      <c r="K531" s="59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59"/>
      <c r="K532" s="59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59"/>
      <c r="K533" s="59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59"/>
      <c r="K534" s="59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59"/>
      <c r="K535" s="59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59"/>
      <c r="K536" s="59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59"/>
      <c r="K537" s="59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59"/>
      <c r="K538" s="59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59"/>
      <c r="K539" s="59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59"/>
      <c r="K540" s="59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59"/>
      <c r="K541" s="59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59"/>
      <c r="K542" s="59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59"/>
      <c r="K543" s="59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59"/>
      <c r="K544" s="59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59"/>
      <c r="K545" s="59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59"/>
      <c r="K546" s="59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59"/>
      <c r="K547" s="59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59"/>
      <c r="K548" s="59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59"/>
      <c r="K549" s="59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59"/>
      <c r="K550" s="59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59"/>
      <c r="K551" s="59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59"/>
      <c r="K552" s="59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59"/>
      <c r="K553" s="59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59"/>
      <c r="K554" s="59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59"/>
      <c r="K555" s="59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59"/>
      <c r="K556" s="59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59"/>
      <c r="K557" s="59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59"/>
      <c r="K558" s="59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59"/>
      <c r="K559" s="59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59"/>
      <c r="K560" s="59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59"/>
      <c r="K561" s="59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59"/>
      <c r="K562" s="59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59"/>
      <c r="K563" s="59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59"/>
      <c r="K564" s="59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59"/>
      <c r="K565" s="59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59"/>
      <c r="K566" s="59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59"/>
      <c r="K567" s="59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59"/>
      <c r="K568" s="59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59"/>
      <c r="K569" s="59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59"/>
      <c r="K570" s="59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59"/>
      <c r="K571" s="59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59"/>
      <c r="K572" s="59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59"/>
      <c r="K573" s="59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59"/>
      <c r="K574" s="59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59"/>
      <c r="K575" s="59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59"/>
      <c r="K576" s="59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59"/>
      <c r="K577" s="59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59"/>
      <c r="K578" s="59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59"/>
      <c r="K579" s="59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59"/>
      <c r="K580" s="59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59"/>
      <c r="K581" s="59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59"/>
      <c r="K582" s="59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59"/>
      <c r="K583" s="59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59"/>
      <c r="K584" s="59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59"/>
      <c r="K585" s="59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59"/>
      <c r="K586" s="59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59"/>
      <c r="K587" s="59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59"/>
      <c r="K588" s="59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59"/>
      <c r="K589" s="59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59"/>
      <c r="K590" s="59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59"/>
      <c r="K591" s="59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59"/>
      <c r="K592" s="59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59"/>
      <c r="K593" s="59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59"/>
      <c r="K594" s="59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59"/>
      <c r="K595" s="59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59"/>
      <c r="K596" s="59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59"/>
      <c r="K597" s="59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59"/>
      <c r="K598" s="59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59"/>
      <c r="K599" s="59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59"/>
      <c r="K600" s="59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59"/>
      <c r="K601" s="59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59"/>
      <c r="K602" s="59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59"/>
      <c r="K603" s="59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59"/>
      <c r="K604" s="59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59"/>
      <c r="K605" s="59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59"/>
      <c r="K606" s="59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59"/>
      <c r="K607" s="59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59"/>
      <c r="K608" s="59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59"/>
      <c r="K609" s="59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59"/>
      <c r="K610" s="59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59"/>
      <c r="K611" s="59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59"/>
      <c r="K612" s="59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59"/>
      <c r="K613" s="59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59"/>
      <c r="K614" s="59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59"/>
      <c r="K615" s="59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59"/>
      <c r="K616" s="59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59"/>
      <c r="K617" s="59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59"/>
      <c r="K618" s="59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59"/>
      <c r="K619" s="59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59"/>
      <c r="K620" s="59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59"/>
      <c r="K621" s="59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59"/>
      <c r="K622" s="59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59"/>
      <c r="K623" s="59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59"/>
      <c r="K624" s="59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59"/>
      <c r="K625" s="59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59"/>
      <c r="K626" s="59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59"/>
      <c r="K627" s="59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59"/>
      <c r="K628" s="59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59"/>
      <c r="K629" s="59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59"/>
      <c r="K630" s="59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59"/>
      <c r="K631" s="59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59"/>
      <c r="K632" s="59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59"/>
      <c r="K633" s="59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59"/>
      <c r="K634" s="59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59"/>
      <c r="K635" s="59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59"/>
      <c r="K636" s="59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59"/>
      <c r="K637" s="59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59"/>
      <c r="K638" s="59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59"/>
      <c r="K639" s="59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59"/>
      <c r="K640" s="59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59"/>
      <c r="K641" s="59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59"/>
      <c r="K642" s="59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59"/>
      <c r="K643" s="59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59"/>
      <c r="K644" s="59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59"/>
      <c r="K645" s="59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59"/>
      <c r="K646" s="59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59"/>
      <c r="K647" s="59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59"/>
      <c r="K648" s="59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59"/>
      <c r="K649" s="59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59"/>
      <c r="K650" s="59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59"/>
      <c r="K651" s="59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59"/>
      <c r="K652" s="59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59"/>
      <c r="K653" s="59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59"/>
      <c r="K654" s="59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59"/>
      <c r="K655" s="59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59"/>
      <c r="K656" s="59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59"/>
      <c r="K657" s="59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59"/>
      <c r="K658" s="59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59"/>
      <c r="K659" s="59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59"/>
      <c r="K660" s="59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59"/>
      <c r="K661" s="59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59"/>
      <c r="K662" s="59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59"/>
      <c r="K663" s="59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59"/>
      <c r="K664" s="59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59"/>
      <c r="K665" s="59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59"/>
      <c r="K666" s="59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59"/>
      <c r="K667" s="59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59"/>
      <c r="K668" s="59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59"/>
      <c r="K669" s="59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59"/>
      <c r="K670" s="59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59"/>
      <c r="K671" s="59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59"/>
      <c r="K672" s="59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59"/>
      <c r="K673" s="59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59"/>
      <c r="K674" s="59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59"/>
      <c r="K675" s="59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59"/>
      <c r="K676" s="59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59"/>
      <c r="K677" s="59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59"/>
      <c r="K678" s="59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59"/>
      <c r="K679" s="59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59"/>
      <c r="K680" s="59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59"/>
      <c r="K681" s="59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59"/>
      <c r="K682" s="59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59"/>
      <c r="K683" s="59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59"/>
      <c r="K684" s="59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59"/>
      <c r="K685" s="59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59"/>
      <c r="K686" s="59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59"/>
      <c r="K687" s="59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59"/>
      <c r="K688" s="59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59"/>
      <c r="K689" s="59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59"/>
      <c r="K690" s="59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59"/>
      <c r="K691" s="59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59"/>
      <c r="K692" s="59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59"/>
      <c r="K693" s="59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59"/>
      <c r="K694" s="59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59"/>
      <c r="K695" s="59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59"/>
      <c r="K696" s="59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59"/>
      <c r="K697" s="59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59"/>
      <c r="K698" s="59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59"/>
      <c r="K699" s="59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59"/>
      <c r="K700" s="59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59"/>
      <c r="K701" s="59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59"/>
      <c r="K702" s="59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59"/>
      <c r="K703" s="59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59"/>
      <c r="K704" s="59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59"/>
      <c r="K705" s="59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59"/>
      <c r="K706" s="59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59"/>
      <c r="K707" s="59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59"/>
      <c r="K708" s="59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59"/>
      <c r="K709" s="59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59"/>
      <c r="K710" s="59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59"/>
      <c r="K711" s="59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59"/>
      <c r="K712" s="59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59"/>
      <c r="K713" s="59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59"/>
      <c r="K714" s="59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59"/>
      <c r="K715" s="59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59"/>
      <c r="K716" s="59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59"/>
      <c r="K717" s="59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59"/>
      <c r="K718" s="59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59"/>
      <c r="K719" s="59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59"/>
      <c r="K720" s="59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59"/>
      <c r="K721" s="59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59"/>
      <c r="K722" s="59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59"/>
      <c r="K723" s="59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59"/>
      <c r="K724" s="59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59"/>
      <c r="K725" s="59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59"/>
      <c r="K726" s="59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59"/>
      <c r="K727" s="59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59"/>
      <c r="K728" s="59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59"/>
      <c r="K729" s="59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59"/>
      <c r="K730" s="59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59"/>
      <c r="K731" s="59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59"/>
      <c r="K732" s="59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59"/>
      <c r="K733" s="59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59"/>
      <c r="K734" s="59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59"/>
      <c r="K735" s="59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59"/>
      <c r="K736" s="59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59"/>
      <c r="K737" s="59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59"/>
      <c r="K738" s="59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59"/>
      <c r="K739" s="59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59"/>
      <c r="K740" s="59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59"/>
      <c r="K741" s="59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59"/>
      <c r="K742" s="59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59"/>
      <c r="K743" s="59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59"/>
      <c r="K744" s="59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59"/>
      <c r="K745" s="59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59"/>
      <c r="K746" s="59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59"/>
      <c r="K747" s="59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59"/>
      <c r="K748" s="59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59"/>
      <c r="K749" s="59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59"/>
      <c r="K750" s="59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59"/>
      <c r="K751" s="59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59"/>
      <c r="K752" s="59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59"/>
      <c r="K753" s="59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59"/>
      <c r="K754" s="59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59"/>
      <c r="K755" s="59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59"/>
      <c r="K756" s="59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59"/>
      <c r="K757" s="59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59"/>
      <c r="K758" s="59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59"/>
      <c r="K759" s="59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59"/>
      <c r="K760" s="59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59"/>
      <c r="K761" s="59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59"/>
      <c r="K762" s="59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59"/>
      <c r="K763" s="59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59"/>
      <c r="K764" s="59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59"/>
      <c r="K765" s="59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59"/>
      <c r="K766" s="59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59"/>
      <c r="K767" s="59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59"/>
      <c r="K768" s="59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59"/>
      <c r="K769" s="59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59"/>
      <c r="K770" s="59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59"/>
      <c r="K771" s="59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59"/>
      <c r="K772" s="59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59"/>
      <c r="K773" s="59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59"/>
      <c r="K774" s="59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59"/>
      <c r="K775" s="59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59"/>
      <c r="K776" s="59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59"/>
      <c r="K777" s="59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59"/>
      <c r="K778" s="59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59"/>
      <c r="K779" s="59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59"/>
      <c r="K780" s="59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59"/>
      <c r="K781" s="59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59"/>
      <c r="K782" s="59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59"/>
      <c r="K783" s="59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59"/>
      <c r="K784" s="59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59"/>
      <c r="K785" s="59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59"/>
      <c r="K786" s="59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59"/>
      <c r="K787" s="59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59"/>
      <c r="K788" s="59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59"/>
      <c r="K789" s="59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59"/>
      <c r="K790" s="59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59"/>
      <c r="K791" s="59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59"/>
      <c r="K792" s="59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59"/>
      <c r="K793" s="59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59"/>
      <c r="K794" s="59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59"/>
      <c r="K795" s="59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59"/>
      <c r="K796" s="59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59"/>
      <c r="K797" s="59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59"/>
      <c r="K798" s="59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59"/>
      <c r="K799" s="59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59"/>
      <c r="K800" s="59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59"/>
      <c r="K801" s="59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59"/>
      <c r="K802" s="59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59"/>
      <c r="K803" s="59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59"/>
      <c r="K804" s="59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59"/>
      <c r="K805" s="59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59"/>
      <c r="K806" s="59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59"/>
      <c r="K807" s="59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59"/>
      <c r="K808" s="59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59"/>
      <c r="K809" s="59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59"/>
      <c r="K810" s="59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59"/>
      <c r="K811" s="59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59"/>
      <c r="K812" s="59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59"/>
      <c r="K813" s="59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59"/>
      <c r="K814" s="59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59"/>
      <c r="K815" s="59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59"/>
      <c r="K816" s="59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59"/>
      <c r="K817" s="59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59"/>
      <c r="K818" s="59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59"/>
      <c r="K819" s="59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59"/>
      <c r="K820" s="59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59"/>
      <c r="K821" s="59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59"/>
      <c r="K822" s="59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59"/>
      <c r="K823" s="59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59"/>
      <c r="K824" s="59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59"/>
      <c r="K825" s="59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59"/>
      <c r="K826" s="59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59"/>
      <c r="K827" s="59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59"/>
      <c r="K828" s="59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59"/>
      <c r="K829" s="59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59"/>
      <c r="K830" s="59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59"/>
      <c r="K831" s="59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59"/>
      <c r="K832" s="59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59"/>
      <c r="K833" s="59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59"/>
      <c r="K834" s="59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59"/>
      <c r="K835" s="59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59"/>
      <c r="K836" s="59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59"/>
      <c r="K837" s="59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59"/>
      <c r="K838" s="59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59"/>
      <c r="K839" s="59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59"/>
      <c r="K840" s="59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59"/>
      <c r="K841" s="59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59"/>
      <c r="K842" s="59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59"/>
      <c r="K843" s="59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59"/>
      <c r="K844" s="59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59"/>
      <c r="K845" s="59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59"/>
      <c r="K846" s="59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59"/>
      <c r="K847" s="59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59"/>
      <c r="K848" s="59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59"/>
      <c r="K849" s="59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59"/>
      <c r="K850" s="59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59"/>
      <c r="K851" s="59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59"/>
      <c r="K852" s="59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59"/>
      <c r="K853" s="59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59"/>
      <c r="K854" s="59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59"/>
      <c r="K855" s="59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59"/>
      <c r="K856" s="59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59"/>
      <c r="K857" s="59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59"/>
      <c r="K858" s="59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59"/>
      <c r="K859" s="59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59"/>
      <c r="K860" s="59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59"/>
      <c r="K861" s="59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59"/>
      <c r="K862" s="59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59"/>
      <c r="K863" s="59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59"/>
      <c r="K864" s="59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59"/>
      <c r="K865" s="59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59"/>
      <c r="K866" s="59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59"/>
      <c r="K867" s="59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59"/>
      <c r="K868" s="59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59"/>
      <c r="K869" s="59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59"/>
      <c r="K870" s="59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59"/>
      <c r="K871" s="59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59"/>
      <c r="K872" s="59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59"/>
      <c r="K873" s="59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59"/>
      <c r="K874" s="59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59"/>
      <c r="K875" s="59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59"/>
      <c r="K876" s="59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59"/>
      <c r="K877" s="59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59"/>
      <c r="K878" s="59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59"/>
      <c r="K879" s="59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59"/>
      <c r="K880" s="59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59"/>
      <c r="K881" s="59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59"/>
      <c r="K882" s="59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59"/>
      <c r="K883" s="59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59"/>
      <c r="K884" s="59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59"/>
      <c r="K885" s="59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59"/>
      <c r="K886" s="59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59"/>
      <c r="K887" s="59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59"/>
      <c r="K888" s="59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59"/>
      <c r="K889" s="59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59"/>
      <c r="K890" s="59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59"/>
      <c r="K891" s="59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59"/>
      <c r="K892" s="59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59"/>
      <c r="K893" s="59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59"/>
      <c r="K894" s="59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59"/>
      <c r="K895" s="59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59"/>
      <c r="K896" s="59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59"/>
      <c r="K897" s="59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59"/>
      <c r="K898" s="59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59"/>
      <c r="K899" s="59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59"/>
      <c r="K900" s="59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59"/>
      <c r="K901" s="59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59"/>
      <c r="K902" s="59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59"/>
      <c r="K903" s="59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59"/>
      <c r="K904" s="59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59"/>
      <c r="K905" s="59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59"/>
      <c r="K906" s="59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59"/>
      <c r="K907" s="59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59"/>
      <c r="K908" s="59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59"/>
      <c r="K909" s="59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59"/>
      <c r="K910" s="59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59"/>
      <c r="K911" s="59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59"/>
      <c r="K912" s="59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59"/>
      <c r="K913" s="59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59"/>
      <c r="K914" s="59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59"/>
      <c r="K915" s="59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59"/>
      <c r="K916" s="59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59"/>
      <c r="K917" s="59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59"/>
      <c r="K918" s="59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59"/>
      <c r="K919" s="59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59"/>
      <c r="K920" s="59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59"/>
      <c r="K921" s="59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59"/>
      <c r="K922" s="59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59"/>
      <c r="K923" s="59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59"/>
      <c r="K924" s="59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59"/>
      <c r="K925" s="59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59"/>
      <c r="K926" s="59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59"/>
      <c r="K927" s="59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59"/>
      <c r="K928" s="59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59"/>
      <c r="K929" s="59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59"/>
      <c r="K930" s="59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59"/>
      <c r="K931" s="59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59"/>
      <c r="K932" s="59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59"/>
      <c r="K933" s="59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59"/>
      <c r="K934" s="59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59"/>
      <c r="K935" s="59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59"/>
      <c r="K936" s="59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59"/>
      <c r="K937" s="59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59"/>
      <c r="K938" s="59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59"/>
      <c r="K939" s="59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59"/>
      <c r="K940" s="59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59"/>
      <c r="K941" s="59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59"/>
      <c r="K942" s="59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59"/>
      <c r="K943" s="59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59"/>
      <c r="K944" s="59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59"/>
      <c r="K945" s="59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59"/>
      <c r="K946" s="59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59"/>
      <c r="K947" s="59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59"/>
      <c r="K948" s="59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59"/>
      <c r="K949" s="59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59"/>
      <c r="K950" s="59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59"/>
      <c r="K951" s="59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59"/>
      <c r="K952" s="59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59"/>
      <c r="K953" s="59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59"/>
      <c r="K954" s="59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59"/>
      <c r="K955" s="59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59"/>
      <c r="K956" s="59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59"/>
      <c r="K957" s="59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59"/>
      <c r="K958" s="59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59"/>
      <c r="K959" s="59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59"/>
      <c r="K960" s="59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59"/>
      <c r="K961" s="59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59"/>
      <c r="K962" s="59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59"/>
      <c r="K963" s="59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59"/>
      <c r="K964" s="59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59"/>
      <c r="K965" s="59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59"/>
      <c r="K966" s="59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59"/>
      <c r="K967" s="59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59"/>
      <c r="K968" s="59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59"/>
      <c r="K969" s="59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59"/>
      <c r="K970" s="59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59"/>
      <c r="K971" s="59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59"/>
      <c r="K972" s="59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59"/>
      <c r="K973" s="59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59"/>
      <c r="K974" s="59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59"/>
      <c r="K975" s="59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59"/>
      <c r="K976" s="59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59"/>
      <c r="K977" s="59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59"/>
      <c r="K978" s="59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59"/>
      <c r="K979" s="59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59"/>
      <c r="K980" s="59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59"/>
      <c r="K981" s="59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59"/>
      <c r="K982" s="59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59"/>
      <c r="K983" s="59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59"/>
      <c r="K984" s="59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59"/>
      <c r="K985" s="59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59"/>
      <c r="K986" s="59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59"/>
      <c r="K987" s="59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59"/>
      <c r="K988" s="59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59"/>
      <c r="K989" s="59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59"/>
      <c r="K990" s="59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59"/>
      <c r="K991" s="59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59"/>
      <c r="K992" s="59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59"/>
      <c r="K993" s="59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59"/>
      <c r="K994" s="59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59"/>
      <c r="K995" s="59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59"/>
      <c r="K996" s="59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59"/>
      <c r="K997" s="59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59"/>
      <c r="K998" s="59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59"/>
      <c r="K999" s="59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59"/>
      <c r="K1000" s="59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56000000000000005" right="0.25" top="0.27" bottom="0.2" header="0" footer="0"/>
  <pageSetup paperSize="9" scale="5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V11</cp:lastModifiedBy>
  <dcterms:created xsi:type="dcterms:W3CDTF">2017-09-19T08:05:47Z</dcterms:created>
  <dcterms:modified xsi:type="dcterms:W3CDTF">2023-06-09T07:33:16Z</dcterms:modified>
</cp:coreProperties>
</file>